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4" i="1" l="1"/>
  <c r="I31" i="2"/>
  <c r="I29" i="2"/>
  <c r="AA38" i="1"/>
  <c r="K55" i="1"/>
  <c r="K54" i="1"/>
  <c r="H31" i="2"/>
  <c r="H29" i="2"/>
  <c r="K41" i="1"/>
  <c r="K38" i="1"/>
  <c r="AA62" i="1"/>
  <c r="AA55" i="1"/>
  <c r="AA41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G13" i="3"/>
  <c r="G25" i="3" s="1"/>
  <c r="AA61" i="1"/>
  <c r="K12" i="3"/>
  <c r="K15" i="3" s="1"/>
  <c r="K27" i="3" s="1"/>
  <c r="G33" i="3"/>
  <c r="K52" i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<sst xmlns="http://schemas.openxmlformats.org/spreadsheetml/2006/main" count="1340" uniqueCount="572">
  <si>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</si>
  <si>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</si>
  <si>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</si>
  <si>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</si>
  <si>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</si>
  <si>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</si>
  <si>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</si>
  <si>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</si>
  <si>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</si>
  <si>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</si>
  <si>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</si>
  <si>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</si>
  <si>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</si>
  <si>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</si>
  <si>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</si>
  <si>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</si>
  <si>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</si>
  <si>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</si>
  <si>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</si>
  <si>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</si>
  <si>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</si>
  <si>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</si>
  <si>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</si>
  <si>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</si>
  <si>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</si>
  <si>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</si>
  <si>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</si>
  <si>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</si>
  <si>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</si>
  <si>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</si>
  <si>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</si>
  <si>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</si>
  <si>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</si>
  <si>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</si>
  <si>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</si>
  <si>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</si>
  <si>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</si>
  <si>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</si>
  <si>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</si>
  <si>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</si>
  <si>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</si>
  <si>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</si>
  <si>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</si>
  <si>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</si>
  <si>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</si>
  <si>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</si>
  <si>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</si>
  <si>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</si>
  <si>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</si>
  <si>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</si>
  <si>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</si>
  <si>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</si>
  <si>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</si>
  <si>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</si>
  <si>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</si>
  <si>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</si>
  <si>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</si>
  <si>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</si>
  <si>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</si>
  <si>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</si>
  <si>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</si>
  <si>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</si>
  <si>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</si>
  <si>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</si>
  <si>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</si>
  <si>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</si>
  <si>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</si>
  <si>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</si>
  <si>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</si>
  <si>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</si>
  <si>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</si>
  <si>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</si>
  <si>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</si>
  <si>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</si>
  <si>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</si>
  <si>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</si>
  <si>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</si>
  <si>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</si>
  <si>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</si>
  <si>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</si>
  <si>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</si>
  <si>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</si>
  <si>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</si>
  <si>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</si>
  <si>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</si>
  <si>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</si>
  <si>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</si>
  <si>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</si>
  <si>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</si>
  <si>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</si>
  <si>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</si>
  <si>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</si>
  <si>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</si>
  <si>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</si>
  <si>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</si>
  <si>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</si>
  <si>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</si>
  <si>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</si>
  <si>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</si>
  <si>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</si>
  <si>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</si>
  <si>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</si>
  <si>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</si>
  <si>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</si>
  <si>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</si>
  <si>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</si>
  <si>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</si>
  <si>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</si>
  <si>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</si>
  <si>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</si>
  <si>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</si>
  <si>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</si>
  <si>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</si>
  <si>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</si>
  <si>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</si>
  <si>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</si>
  <si>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</si>
  <si>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</si>
  <si>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</si>
  <si>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</si>
  <si>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</si>
  <si>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</si>
  <si>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</si>
  <si>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</si>
  <si>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</si>
  <si>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</si>
  <si>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</si>
  <si>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</si>
  <si>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</si>
  <si>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</si>
  <si>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</si>
  <si>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</si>
  <si>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</si>
  <si>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</si>
  <si>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</si>
  <si>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</si>
  <si>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</si>
  <si>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</si>
  <si>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</si>
  <si>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</si>
  <si>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</si>
  <si>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</si>
  <si>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</si>
  <si>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</si>
  <si>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</si>
  <si>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</si>
  <si>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</si>
  <si>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</si>
  <si>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</si>
  <si>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</si>
  <si>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</si>
  <si>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</si>
  <si>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</si>
  <si>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</si>
  <si>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</si>
  <si>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</si>
  <si>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</si>
  <si>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</si>
  <si>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</si>
  <si>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</si>
  <si>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</si>
  <si>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</si>
  <si>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</si>
  <si>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</si>
  <si>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</si>
  <si>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</si>
  <si>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</si>
  <si>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</si>
  <si>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</si>
  <si>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</si>
  <si>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</si>
  <si>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</si>
  <si>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</si>
  <si>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</si>
  <si>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</si>
  <si>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</si>
  <si>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</si>
  <si>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</si>
  <si>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</si>
  <si>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</si>
  <si>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</si>
  <si>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</si>
  <si>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</si>
  <si>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</si>
  <si>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</si>
  <si>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</si>
  <si>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</si>
  <si>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</si>
  <si>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</si>
  <si>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</si>
  <si>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</si>
  <si>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</si>
  <si>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</si>
  <si>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</si>
  <si>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</si>
  <si>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</si>
  <si>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</si>
  <si>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</si>
  <si>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</si>
  <si>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</si>
  <si>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</si>
  <si>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</si>
  <si>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</si>
  <si>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</si>
  <si>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</si>
  <si>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</si>
  <si>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</si>
  <si>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</si>
  <si>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</si>
  <si>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</si>
  <si>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</si>
  <si>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</si>
  <si>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</si>
  <si>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</si>
  <si>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</si>
  <si>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</si>
  <si>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</si>
  <si>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</si>
  <si>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</si>
  <si>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</si>
  <si>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</si>
  <si>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</si>
  <si>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</si>
  <si>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</si>
  <si>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</si>
  <si>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</si>
  <si>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</si>
  <si>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</si>
  <si>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</si>
  <si>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</si>
  <si>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</si>
  <si>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</si>
  <si>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</si>
  <si>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</si>
  <si>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</si>
  <si>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</si>
  <si>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</si>
  <si>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</si>
  <si>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</si>
  <si>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</si>
  <si>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</si>
  <si>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</si>
  <si>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</si>
  <si>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</si>
  <si>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</si>
  <si>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</si>
  <si>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</si>
  <si>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</si>
  <si>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</si>
  <si>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</si>
  <si>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</si>
  <si>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</si>
  <si>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</si>
  <si>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</si>
  <si>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</si>
  <si>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</si>
  <si>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</si>
  <si>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</si>
  <si>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</si>
  <si>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</si>
  <si>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</si>
  <si>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</si>
  <si>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</si>
  <si>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</si>
  <si>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</si>
  <si>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</si>
  <si>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</si>
  <si>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</si>
  <si>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</si>
  <si>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</si>
  <si>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</si>
  <si>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</si>
  <si>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</si>
  <si>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</si>
  <si>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</si>
  <si>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</si>
  <si>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</si>
  <si>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</si>
  <si>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</si>
  <si>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</si>
  <si>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</si>
  <si>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</si>
  <si>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</si>
  <si>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</si>
  <si>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</si>
  <si>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</si>
  <si>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</si>
  <si>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</si>
  <si>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</si>
  <si>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</si>
  <si>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</si>
  <si>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</si>
  <si>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</si>
  <si>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</si>
  <si>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</si>
  <si>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</si>
  <si>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</si>
  <si>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</si>
  <si>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</si>
  <si>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</si>
  <si>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</si>
  <si>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</si>
  <si>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</si>
  <si>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</si>
  <si>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</si>
  <si>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</si>
  <si>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</si>
  <si>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</si>
  <si>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</si>
  <si>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</si>
  <si>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</si>
  <si>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</si>
  <si>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</si>
  <si>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</si>
  <si>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</si>
  <si>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</si>
  <si>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</si>
  <si>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</si>
  <si>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</si>
  <si>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</si>
  <si>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</si>
  <si>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</si>
  <si>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</si>
  <si>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</si>
  <si>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</si>
  <si>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</si>
  <si>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</si>
  <si>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</si>
  <si>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</si>
  <si>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</si>
  <si>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</si>
  <si>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</si>
  <si>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</si>
  <si>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</si>
  <si>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</si>
  <si>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</si>
  <si>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</si>
  <si>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</si>
  <si>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</si>
  <si>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</si>
  <si>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</si>
  <si>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</si>
  <si>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</si>
  <si>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</si>
  <si>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</si>
  <si>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</si>
  <si>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</si>
  <si>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</si>
  <si>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</si>
  <si>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</si>
  <si>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</si>
  <si>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</si>
  <si>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</si>
  <si>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</si>
  <si>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</si>
  <si>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</si>
  <si>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</si>
  <si>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</si>
  <si>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</si>
  <si>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</si>
  <si>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</si>
  <si>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</si>
  <si>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</si>
  <si>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</si>
  <si>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</si>
  <si>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</si>
  <si>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</si>
  <si>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</si>
  <si>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</si>
  <si>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</si>
  <si>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</si>
  <si>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</si>
  <si>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</si>
  <si>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</si>
  <si>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</si>
  <si>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</si>
  <si>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</si>
  <si>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</si>
  <si>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</si>
  <si>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</si>
  <si>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</si>
  <si>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</si>
  <si>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</si>
  <si>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</si>
  <si>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</si>
  <si>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</si>
  <si>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</si>
  <si>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</si>
  <si>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</si>
  <si>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</si>
  <si>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</si>
  <si>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</si>
  <si>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</si>
  <si>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</si>
  <si>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</si>
  <si>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</si>
  <si>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</si>
  <si>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</si>
  <si>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</si>
  <si>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</si>
  <si>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</si>
  <si>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</si>
  <si>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</si>
  <si>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</si>
  <si>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</si>
  <si>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</si>
  <si>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</si>
  <si>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</si>
  <si>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</si>
  <si>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</si>
  <si>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</si>
  <si>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</si>
  <si>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</si>
  <si>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</si>
  <si>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</si>
  <si>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</si>
  <si>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</si>
  <si>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</si>
  <si>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</si>
  <si>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</si>
  <si>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</si>
  <si>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</si>
  <si>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</si>
  <si>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</si>
  <si>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</si>
  <si>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</si>
  <si>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</si>
  <si>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</si>
  <si>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</si>
  <si>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</si>
  <si>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</si>
  <si>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</si>
  <si>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</si>
  <si>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</si>
  <si>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</si>
  <si>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</si>
  <si>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</si>
  <si>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</si>
  <si>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</si>
  <si>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</si>
  <si>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</si>
  <si>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</si>
  <si>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</si>
  <si>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</si>
  <si>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</si>
  <si>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</si>
  <si>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</si>
  <si>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</si>
  <si>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</si>
  <si>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</si>
  <si>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</si>
  <si>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</si>
  <si>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</si>
  <si>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</si>
  <si>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</si>
  <si>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</si>
  <si>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</si>
  <si>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</si>
  <si>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</si>
  <si>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</si>
  <si>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</si>
  <si>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</si>
  <si>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</si>
  <si>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</si>
  <si>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</si>
  <si>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</si>
  <si>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</si>
  <si>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</si>
  <si>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</si>
  <si>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</si>
  <si>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</si>
  <si>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</si>
  <si>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</si>
  <si>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</si>
  <si>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</si>
  <si>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</si>
  <si>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</si>
  <si>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</si>
  <si>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</si>
  <si>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</si>
  <si>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</si>
  <si>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</si>
  <si>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</si>
  <si>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</si>
  <si>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</si>
  <si>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</si>
  <si>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</si>
  <si>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</si>
  <si>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</si>
  <si>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</si>
  <si>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</si>
  <si>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</si>
  <si>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</si>
  <si>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</si>
  <si>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</si>
  <si>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</si>
  <si>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</si>
  <si>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</si>
  <si>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</si>
  <si>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</si>
  <si>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</si>
  <si>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</si>
  <si>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</si>
  <si>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</si>
  <si>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</si>
  <si>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</si>
  <si>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</si>
  <si>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</si>
  <si>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</si>
  <si>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</si>
  <si>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</si>
  <si>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</si>
  <si>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</si>
  <si>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</si>
  <si>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</si>
  <si>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</si>
  <si>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</si>
  <si>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</si>
  <si>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</si>
  <si>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</si>
  <si>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</si>
  <si>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</si>
  <si>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</si>
  <si>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</si>
  <si>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</si>
  <si>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</si>
  <si>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</si>
  <si>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</si>
  <si>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</si>
  <si>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</si>
  <si>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</si>
  <si>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</si>
  <si>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</si>
  <si>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</si>
  <si>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</si>
  <si>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</si>
  <si>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</si>
  <si>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</si>
  <si>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</si>
  <si>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</si>
  <si>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</si>
  <si>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</si>
  <si>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</si>
  <si>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</si>
  <si>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</si>
  <si>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</si>
  <si>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</si>
  <si>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</si>
  <si>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</si>
  <si>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</si>
  <si>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</si>
  <si>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</si>
  <si>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</si>
  <si>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</si>
  <si>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</si>
  <si>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</si>
  <si>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</si>
  <si>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</si>
  <si>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</si>
  <si>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</si>
  <si>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</si>
  <si>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</si>
  <si>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</si>
  <si>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</si>
  <si>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</si>
  <si>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Першотравнева 22/27</t>
  </si>
  <si>
    <t xml:space="preserve">          за адресою: м.Вишневе  вул. Першотравнева 22/27</t>
  </si>
  <si>
    <t xml:space="preserve">   за адресою: м.Вишневе  вул. Першотравнева 22/27</t>
  </si>
  <si>
    <t>інше використання прибутку 4%</t>
  </si>
  <si>
    <t xml:space="preserve">    Відкоригований тариф на на виробництво теплової енергії</t>
  </si>
  <si>
    <t>Відкоригований тариф на постачання теплової енергії</t>
  </si>
  <si>
    <t xml:space="preserve">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</si>
</sst>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16">
          <cell r="C16">
            <v>1143.3430000000001</v>
          </cell>
          <cell r="D16">
            <v>33.557000000000002</v>
          </cell>
          <cell r="S16">
            <v>3.51</v>
          </cell>
          <cell r="T16">
            <v>0.1</v>
          </cell>
          <cell r="V16">
            <v>208.56</v>
          </cell>
          <cell r="W16">
            <v>6.12</v>
          </cell>
          <cell r="AE16">
            <v>16.66</v>
          </cell>
          <cell r="AF16">
            <v>0.49</v>
          </cell>
          <cell r="AH16">
            <v>44.21</v>
          </cell>
          <cell r="AI16">
            <v>1.3</v>
          </cell>
          <cell r="AN16">
            <v>27.37</v>
          </cell>
          <cell r="AO16">
            <v>0.8</v>
          </cell>
          <cell r="AT16">
            <v>141.81</v>
          </cell>
          <cell r="AU16">
            <v>4.16</v>
          </cell>
          <cell r="BC16">
            <v>81.42</v>
          </cell>
          <cell r="BD16">
            <v>2.38</v>
          </cell>
          <cell r="BI16">
            <v>20.260000000000002</v>
          </cell>
          <cell r="BJ16">
            <v>0.59</v>
          </cell>
          <cell r="BO16">
            <v>44.31</v>
          </cell>
          <cell r="BP16">
            <v>1.3</v>
          </cell>
          <cell r="BU16">
            <v>0</v>
          </cell>
          <cell r="BV16">
            <v>0</v>
          </cell>
          <cell r="CG16">
            <v>0</v>
          </cell>
          <cell r="CH16">
            <v>0</v>
          </cell>
          <cell r="CJ16">
            <v>48.88</v>
          </cell>
          <cell r="CK16">
            <v>1.43</v>
          </cell>
          <cell r="DB16">
            <v>1197911.6100000001</v>
          </cell>
          <cell r="DC16">
            <v>35156.94</v>
          </cell>
          <cell r="DK16">
            <v>69112.490000000005</v>
          </cell>
          <cell r="DL16">
            <v>2042.42</v>
          </cell>
          <cell r="DR16">
            <v>2753.41</v>
          </cell>
          <cell r="DS16">
            <v>267.47000000000003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O8" sqref="O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65" t="s">
        <v>0</v>
      </c>
      <c r="V4" s="366"/>
      <c r="W4" s="366"/>
      <c r="X4" s="366"/>
      <c r="Y4" s="366"/>
      <c r="Z4" s="366"/>
      <c r="AA4" s="366"/>
    </row>
    <row r="5" spans="1:27" ht="20.25">
      <c r="A5" s="1"/>
      <c r="U5" s="365" t="s">
        <v>562</v>
      </c>
      <c r="V5" s="366"/>
      <c r="W5" s="366"/>
      <c r="X5" s="366"/>
      <c r="Y5" s="366"/>
      <c r="Z5" s="366"/>
      <c r="AA5" s="366"/>
    </row>
    <row r="6" spans="1:27" ht="20.25">
      <c r="A6" s="1"/>
      <c r="U6" s="365" t="s">
        <v>557</v>
      </c>
      <c r="V6" s="366"/>
      <c r="W6" s="366"/>
      <c r="X6" s="366"/>
      <c r="Y6" s="366"/>
      <c r="Z6" s="366"/>
      <c r="AA6" s="366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567</v>
      </c>
      <c r="I9" s="307"/>
      <c r="J9" s="307"/>
      <c r="K9" s="307"/>
      <c r="L9" s="307"/>
      <c r="M9" s="308"/>
      <c r="N9" s="308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49" t="s">
        <v>6</v>
      </c>
      <c r="E10" s="350"/>
      <c r="F10" s="350"/>
      <c r="G10" s="351"/>
      <c r="H10" s="349" t="s">
        <v>7</v>
      </c>
      <c r="I10" s="350"/>
      <c r="J10" s="350"/>
      <c r="K10" s="351"/>
      <c r="L10" s="349" t="s">
        <v>7</v>
      </c>
      <c r="M10" s="350"/>
      <c r="N10" s="350"/>
      <c r="O10" s="351"/>
      <c r="P10" s="349" t="s">
        <v>7</v>
      </c>
      <c r="Q10" s="350"/>
      <c r="R10" s="350"/>
      <c r="S10" s="351"/>
      <c r="T10" s="349" t="s">
        <v>12</v>
      </c>
      <c r="U10" s="350"/>
      <c r="V10" s="350"/>
      <c r="W10" s="350"/>
      <c r="X10" s="350"/>
      <c r="Y10" s="350"/>
      <c r="Z10" s="350"/>
      <c r="AA10" s="351"/>
    </row>
    <row r="11" spans="1:27" ht="23.25" thickBot="1">
      <c r="A11" s="296" t="s">
        <v>3</v>
      </c>
      <c r="B11" s="297"/>
      <c r="C11" s="297"/>
      <c r="D11" s="352"/>
      <c r="E11" s="364"/>
      <c r="F11" s="364"/>
      <c r="G11" s="354"/>
      <c r="H11" s="352" t="s">
        <v>8</v>
      </c>
      <c r="I11" s="353"/>
      <c r="J11" s="353"/>
      <c r="K11" s="354"/>
      <c r="L11" s="352" t="s">
        <v>9</v>
      </c>
      <c r="M11" s="353"/>
      <c r="N11" s="353"/>
      <c r="O11" s="354"/>
      <c r="P11" s="352" t="s">
        <v>10</v>
      </c>
      <c r="Q11" s="353"/>
      <c r="R11" s="353"/>
      <c r="S11" s="354"/>
      <c r="T11" s="361"/>
      <c r="U11" s="362"/>
      <c r="V11" s="362"/>
      <c r="W11" s="362"/>
      <c r="X11" s="362"/>
      <c r="Y11" s="362"/>
      <c r="Z11" s="362"/>
      <c r="AA11" s="363"/>
    </row>
    <row r="12" spans="1:27" ht="27.75" customHeight="1">
      <c r="A12" s="298"/>
      <c r="B12" s="297"/>
      <c r="C12" s="297"/>
      <c r="D12" s="352"/>
      <c r="E12" s="364"/>
      <c r="F12" s="364"/>
      <c r="G12" s="354"/>
      <c r="H12" s="355"/>
      <c r="I12" s="356"/>
      <c r="J12" s="356"/>
      <c r="K12" s="357"/>
      <c r="L12" s="355"/>
      <c r="M12" s="356"/>
      <c r="N12" s="356"/>
      <c r="O12" s="357"/>
      <c r="P12" s="352" t="s">
        <v>11</v>
      </c>
      <c r="Q12" s="353"/>
      <c r="R12" s="353"/>
      <c r="S12" s="354"/>
      <c r="T12" s="349" t="s">
        <v>13</v>
      </c>
      <c r="U12" s="350"/>
      <c r="V12" s="350"/>
      <c r="W12" s="351"/>
      <c r="X12" s="349" t="s">
        <v>13</v>
      </c>
      <c r="Y12" s="350"/>
      <c r="Z12" s="350"/>
      <c r="AA12" s="351"/>
    </row>
    <row r="13" spans="1:27" ht="22.5">
      <c r="A13" s="298"/>
      <c r="B13" s="297"/>
      <c r="C13" s="297"/>
      <c r="D13" s="352"/>
      <c r="E13" s="364"/>
      <c r="F13" s="364"/>
      <c r="G13" s="354"/>
      <c r="H13" s="355"/>
      <c r="I13" s="356"/>
      <c r="J13" s="356"/>
      <c r="K13" s="357"/>
      <c r="L13" s="355"/>
      <c r="M13" s="356"/>
      <c r="N13" s="356"/>
      <c r="O13" s="357"/>
      <c r="P13" s="355"/>
      <c r="Q13" s="356"/>
      <c r="R13" s="356"/>
      <c r="S13" s="357"/>
      <c r="T13" s="352" t="s">
        <v>10</v>
      </c>
      <c r="U13" s="353"/>
      <c r="V13" s="353"/>
      <c r="W13" s="354"/>
      <c r="X13" s="352" t="s">
        <v>14</v>
      </c>
      <c r="Y13" s="353"/>
      <c r="Z13" s="353"/>
      <c r="AA13" s="354"/>
    </row>
    <row r="14" spans="1:27" ht="21.75" customHeight="1" thickBot="1">
      <c r="A14" s="298"/>
      <c r="B14" s="297"/>
      <c r="C14" s="297"/>
      <c r="D14" s="361"/>
      <c r="E14" s="362"/>
      <c r="F14" s="362"/>
      <c r="G14" s="363"/>
      <c r="H14" s="358"/>
      <c r="I14" s="359"/>
      <c r="J14" s="359"/>
      <c r="K14" s="360"/>
      <c r="L14" s="358"/>
      <c r="M14" s="359"/>
      <c r="N14" s="359"/>
      <c r="O14" s="360"/>
      <c r="P14" s="358"/>
      <c r="Q14" s="359"/>
      <c r="R14" s="359"/>
      <c r="S14" s="360"/>
      <c r="T14" s="358"/>
      <c r="U14" s="359"/>
      <c r="V14" s="359"/>
      <c r="W14" s="360"/>
      <c r="X14" s="361" t="s">
        <v>15</v>
      </c>
      <c r="Y14" s="362"/>
      <c r="Z14" s="362"/>
      <c r="AA14" s="363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1815.7600000000002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1763.79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51.97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51.97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1310.8500000000001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1273.28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37.57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37.57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1233.0700000000002</v>
      </c>
      <c r="H19" s="219">
        <v>0</v>
      </c>
      <c r="I19" s="219">
        <v>0</v>
      </c>
      <c r="J19" s="219">
        <v>0</v>
      </c>
      <c r="K19" s="247">
        <f>ROUND('[1]Витрати 20 -21'!$DB$16/1000,2)</f>
        <v>1197.9100000000001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35.159999999999997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20 -21'!$DC$16/1000,2)</f>
        <v>35.159999999999997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71.150000000000006</v>
      </c>
      <c r="H20" s="219">
        <v>0</v>
      </c>
      <c r="I20" s="219">
        <v>0</v>
      </c>
      <c r="J20" s="219">
        <v>0</v>
      </c>
      <c r="K20" s="247">
        <f>ROUND('[1]Витрати 20 -21'!$DK$16/1000,2)</f>
        <v>69.11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2.04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20 -21'!$DL$16/1000,2)</f>
        <v>2.04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3.02</v>
      </c>
      <c r="H22" s="219">
        <v>0</v>
      </c>
      <c r="I22" s="219">
        <v>0</v>
      </c>
      <c r="J22" s="219">
        <v>0</v>
      </c>
      <c r="K22" s="247">
        <f>ROUND('[1]Витрати 20 -21'!$DR$16/1000,2)</f>
        <v>2.75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0.27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20 -21'!$DS$16/1000,2)</f>
        <v>0.27</v>
      </c>
    </row>
    <row r="23" spans="1:28" ht="24.75" customHeight="1" thickBot="1">
      <c r="A23" s="340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3.61</v>
      </c>
      <c r="H23" s="219"/>
      <c r="I23" s="219"/>
      <c r="J23" s="219"/>
      <c r="K23" s="326">
        <f>ROUND('[1]Витрати 20 -21'!$S$16,2)</f>
        <v>3.51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0.1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6">
        <f>ROUND('[1]Витрати 20 -21'!$T$16,2)</f>
        <v>0.1</v>
      </c>
    </row>
    <row r="24" spans="1:28" ht="30.75" customHeight="1" thickBot="1">
      <c r="A24" s="341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7"/>
      <c r="L24" s="316"/>
      <c r="M24" s="342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7"/>
    </row>
    <row r="25" spans="1:28" ht="21.75" customHeight="1" thickBot="1">
      <c r="A25" s="338">
        <v>1.2</v>
      </c>
      <c r="B25" s="215" t="s">
        <v>27</v>
      </c>
      <c r="C25" s="336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214.68</v>
      </c>
      <c r="H25" s="219"/>
      <c r="I25" s="219"/>
      <c r="J25" s="219"/>
      <c r="K25" s="326">
        <f>ROUND('[1]Витрати 20 -21'!$V$16,2)</f>
        <v>208.56</v>
      </c>
      <c r="L25" s="343">
        <v>0</v>
      </c>
      <c r="M25" s="345">
        <v>0</v>
      </c>
      <c r="N25" s="347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6.12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6">
        <f>ROUND('[1]Витрати 20 -21'!$W$16,2)</f>
        <v>6.12</v>
      </c>
    </row>
    <row r="26" spans="1:28" ht="32.25" customHeight="1" thickBot="1">
      <c r="A26" s="339"/>
      <c r="B26" s="216" t="s">
        <v>28</v>
      </c>
      <c r="C26" s="337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7"/>
      <c r="L26" s="344"/>
      <c r="M26" s="346"/>
      <c r="N26" s="348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7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109.89</v>
      </c>
      <c r="H27" s="219">
        <v>0</v>
      </c>
      <c r="I27" s="219">
        <v>0</v>
      </c>
      <c r="J27" s="219">
        <v>0</v>
      </c>
      <c r="K27" s="219">
        <f>ROUND(K28+K29+K30+K31,2)</f>
        <v>106.75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3.14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3.14</v>
      </c>
    </row>
    <row r="28" spans="1:28" ht="20.25" customHeight="1" thickBot="1">
      <c r="A28" s="334" t="s">
        <v>120</v>
      </c>
      <c r="B28" s="215" t="s">
        <v>30</v>
      </c>
      <c r="C28" s="336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47.230000000000004</v>
      </c>
      <c r="H28" s="219"/>
      <c r="I28" s="219"/>
      <c r="J28" s="219"/>
      <c r="K28" s="311">
        <f>ROUND(K25*22%,2)</f>
        <v>45.88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1.35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1.35</v>
      </c>
    </row>
    <row r="29" spans="1:28" ht="30" customHeight="1" thickBot="1">
      <c r="A29" s="335"/>
      <c r="B29" s="216" t="s">
        <v>31</v>
      </c>
      <c r="C29" s="337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17.149999999999999</v>
      </c>
      <c r="H30" s="219">
        <v>0</v>
      </c>
      <c r="I30" s="219">
        <v>0</v>
      </c>
      <c r="J30" s="219">
        <v>0</v>
      </c>
      <c r="K30" s="247">
        <f>ROUND('[1]Витрати 20 -21'!$AE$16,2)</f>
        <v>16.66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0.49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20 -21'!$AF$16,2)</f>
        <v>0.49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45.51</v>
      </c>
      <c r="H31" s="219">
        <v>0</v>
      </c>
      <c r="I31" s="219">
        <v>0</v>
      </c>
      <c r="J31" s="219">
        <v>0</v>
      </c>
      <c r="K31" s="247">
        <f>ROUND('[1]Витрати 20 -21'!$AH$16,2)</f>
        <v>44.21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1.3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20 -21'!$AI$16,2)</f>
        <v>1.3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180.33999999999997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175.2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5.1400000000000006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5.14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28.17</v>
      </c>
      <c r="H33" s="219">
        <v>0</v>
      </c>
      <c r="I33" s="219">
        <v>0</v>
      </c>
      <c r="J33" s="219">
        <v>0</v>
      </c>
      <c r="K33" s="247">
        <f>ROUND('[1]Витрати 20 -21'!$AN$16,2)</f>
        <v>27.37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0.8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20 -21'!$AO$16,2)</f>
        <v>0.8</v>
      </c>
    </row>
    <row r="34" spans="1:27" ht="20.25">
      <c r="A34" s="332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6.1999999999999993</v>
      </c>
      <c r="H34" s="311">
        <v>0</v>
      </c>
      <c r="I34" s="311">
        <v>0</v>
      </c>
      <c r="J34" s="311">
        <v>0</v>
      </c>
      <c r="K34" s="313">
        <f>ROUND(K33*22%,2)</f>
        <v>6.02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0.18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0.18</v>
      </c>
    </row>
    <row r="35" spans="1:27" ht="21" thickBot="1">
      <c r="A35" s="333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145.97</v>
      </c>
      <c r="H36" s="219">
        <v>0</v>
      </c>
      <c r="I36" s="219">
        <v>0</v>
      </c>
      <c r="J36" s="219">
        <v>0</v>
      </c>
      <c r="K36" s="247">
        <f>ROUND('[1]Витрати 20 -21'!$AT$16,2)</f>
        <v>141.81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4.16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20 -21'!$AU$16,2)</f>
        <v>4.16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119.49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116.1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3.39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3.39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81.350000000000009</v>
      </c>
      <c r="H38" s="219">
        <v>0</v>
      </c>
      <c r="I38" s="219">
        <v>0</v>
      </c>
      <c r="J38" s="219">
        <v>0</v>
      </c>
      <c r="K38" s="247">
        <f>ROUND('[1]Витрати 20 -21'!$BC$16-'Додаток 3'!H25,2)</f>
        <v>79.040000000000006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2.31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20 -21'!$BD$16-'Додаток 3'!I25,2)</f>
        <v>2.31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17.900000000000002</v>
      </c>
      <c r="H39" s="311">
        <v>0</v>
      </c>
      <c r="I39" s="311">
        <v>0</v>
      </c>
      <c r="J39" s="311">
        <v>0</v>
      </c>
      <c r="K39" s="313">
        <f>ROUND(K38*22%,2)</f>
        <v>17.39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0.51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0.51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20.240000000000002</v>
      </c>
      <c r="H41" s="219">
        <v>0</v>
      </c>
      <c r="I41" s="219">
        <v>0</v>
      </c>
      <c r="J41" s="219">
        <v>0</v>
      </c>
      <c r="K41" s="247">
        <f>ROUND('[1]Витрати 20 -21'!$BI$16-'Додаток 3'!H27,2)</f>
        <v>19.670000000000002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0.56999999999999995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20 -21'!$BJ$16-'Додаток 3'!I27,2)</f>
        <v>0.56999999999999995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13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14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1935.25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1879.89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55.36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55.36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153.96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149.57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4.3899999999999997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4.3899999999999997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27.71</v>
      </c>
      <c r="H52" s="259" t="s">
        <v>46</v>
      </c>
      <c r="I52" s="259" t="s">
        <v>46</v>
      </c>
      <c r="J52" s="219">
        <v>0</v>
      </c>
      <c r="K52" s="182">
        <f>ROUND(18%*(K53+K54+K55+K57)/82%,2)</f>
        <v>26.92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0.79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0.79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48.84</v>
      </c>
      <c r="H54" s="259" t="s">
        <v>46</v>
      </c>
      <c r="I54" s="259" t="s">
        <v>46</v>
      </c>
      <c r="J54" s="219">
        <v>0</v>
      </c>
      <c r="K54" s="247">
        <f>ROUND('[1]Витрати 20 -21'!$CJ$16-'Додаток 3'!H39,2)</f>
        <v>47.45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1.39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20 -21'!$CK$16-'Додаток 3'!I39,2)</f>
        <v>1.39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0</v>
      </c>
      <c r="H55" s="321" t="s">
        <v>46</v>
      </c>
      <c r="I55" s="321" t="s">
        <v>46</v>
      </c>
      <c r="J55" s="311">
        <v>0</v>
      </c>
      <c r="K55" s="326">
        <f>ROUND('[1]Витрати 20 -21'!$CG$16-'Додаток 3'!H40,2)</f>
        <v>0</v>
      </c>
      <c r="L55" s="328" t="s">
        <v>46</v>
      </c>
      <c r="M55" s="328" t="s">
        <v>46</v>
      </c>
      <c r="N55" s="315">
        <v>0</v>
      </c>
      <c r="O55" s="315">
        <v>0</v>
      </c>
      <c r="P55" s="330" t="s">
        <v>129</v>
      </c>
      <c r="Q55" s="321" t="s">
        <v>46</v>
      </c>
      <c r="R55" s="315">
        <f t="shared" si="9"/>
        <v>0</v>
      </c>
      <c r="S55" s="315">
        <f t="shared" si="10"/>
        <v>0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20 -21'!$CH$16-'Додаток 3'!I40,2)</f>
        <v>0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7"/>
      <c r="L56" s="329"/>
      <c r="M56" s="329"/>
      <c r="N56" s="316"/>
      <c r="O56" s="316"/>
      <c r="P56" s="331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77.41</v>
      </c>
      <c r="H57" s="259" t="s">
        <v>46</v>
      </c>
      <c r="I57" s="259" t="s">
        <v>46</v>
      </c>
      <c r="J57" s="219">
        <v>0</v>
      </c>
      <c r="K57" s="182">
        <f>ROUND(K49*4%,2)</f>
        <v>75.2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2.21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2.21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2089.21</v>
      </c>
      <c r="H58" s="219">
        <v>0</v>
      </c>
      <c r="I58" s="219">
        <v>0</v>
      </c>
      <c r="J58" s="219">
        <v>0</v>
      </c>
      <c r="K58" s="219">
        <f>ROUND(K49+K51,2)</f>
        <v>2029.46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59.75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59.75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1775.18055909593</v>
      </c>
      <c r="H59" s="219">
        <v>0</v>
      </c>
      <c r="I59" s="219">
        <v>0</v>
      </c>
      <c r="J59" s="219">
        <v>0</v>
      </c>
      <c r="K59" s="219">
        <f>ROUND(K58/K62*1000,2)</f>
        <v>1775.02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1780.55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1780.55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1047.7270796159401</v>
      </c>
      <c r="H60" s="219">
        <v>0</v>
      </c>
      <c r="I60" s="219">
        <v>0</v>
      </c>
      <c r="J60" s="219">
        <v>0</v>
      </c>
      <c r="K60" s="219">
        <f>ROUND(K19/K62*1000,2)</f>
        <v>1047.73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1047.77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1047.77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727.45347947998994</v>
      </c>
      <c r="H61" s="219">
        <v>0</v>
      </c>
      <c r="I61" s="219">
        <v>0</v>
      </c>
      <c r="J61" s="219">
        <v>0</v>
      </c>
      <c r="K61" s="219">
        <f>ROUND(K59-K60,2)</f>
        <v>727.29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732.78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732.78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1176.9000000000001</v>
      </c>
      <c r="H62" s="219">
        <v>0</v>
      </c>
      <c r="I62" s="219">
        <v>0</v>
      </c>
      <c r="J62" s="219">
        <v>0</v>
      </c>
      <c r="K62" s="267">
        <f>ROUND('[1]Витрати 20 -21'!$C$16,3)</f>
        <v>1143.3430000000001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33.557000000000002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20 -21'!$D$16,3)</f>
        <v>33.557000000000002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1176.9000000000001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1143.3430000000001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33.557000000000002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33.557000000000002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1644.3623077576683</v>
      </c>
      <c r="H68" s="219">
        <v>0</v>
      </c>
      <c r="I68" s="219">
        <v>0</v>
      </c>
      <c r="J68" s="219">
        <v>0</v>
      </c>
      <c r="K68" s="219">
        <f>ROUND(K49/K67*1000,2)</f>
        <v>1644.2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1649.73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1649.73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7" t="s">
        <v>520</v>
      </c>
      <c r="C7" s="517"/>
      <c r="D7" s="517"/>
      <c r="E7" s="517"/>
      <c r="F7" s="13"/>
      <c r="G7" s="13"/>
      <c r="H7" s="13"/>
    </row>
    <row r="8" spans="1:8" ht="23.25" customHeight="1">
      <c r="A8" s="79"/>
      <c r="B8" s="517" t="s">
        <v>521</v>
      </c>
      <c r="C8" s="517"/>
      <c r="D8" s="517"/>
      <c r="E8" s="517"/>
      <c r="F8" s="13"/>
      <c r="G8" s="13"/>
      <c r="H8" s="13"/>
    </row>
    <row r="9" spans="1:8" ht="23.25" customHeight="1">
      <c r="A9" s="79"/>
      <c r="B9" s="517" t="s">
        <v>522</v>
      </c>
      <c r="C9" s="517"/>
      <c r="D9" s="517"/>
      <c r="E9" s="517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6" t="s">
        <v>334</v>
      </c>
      <c r="D11" s="516"/>
      <c r="E11" s="516"/>
      <c r="F11" s="13"/>
      <c r="G11" s="13"/>
      <c r="H11" s="13"/>
    </row>
    <row r="12" spans="1:8" ht="28.5" customHeight="1" thickBot="1">
      <c r="A12" s="126"/>
      <c r="B12" s="156"/>
      <c r="C12" s="513" t="s">
        <v>524</v>
      </c>
      <c r="D12" s="513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3" t="s">
        <v>407</v>
      </c>
      <c r="D13" s="433" t="s">
        <v>70</v>
      </c>
      <c r="E13" s="370" t="s">
        <v>408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3" t="s">
        <v>46</v>
      </c>
      <c r="E32" s="524"/>
      <c r="F32" s="525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6">
        <v>0</v>
      </c>
      <c r="E33" s="527"/>
      <c r="F33" s="528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6">
        <v>0</v>
      </c>
      <c r="E34" s="527"/>
      <c r="F34" s="528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6">
        <v>0</v>
      </c>
      <c r="E35" s="527"/>
      <c r="F35" s="528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3" t="s">
        <v>46</v>
      </c>
      <c r="E36" s="524"/>
      <c r="F36" s="525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9">
        <v>156</v>
      </c>
      <c r="E37" s="530"/>
      <c r="F37" s="531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9">
        <v>-22</v>
      </c>
      <c r="E38" s="530"/>
      <c r="F38" s="531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9">
        <v>-0.1</v>
      </c>
      <c r="E39" s="530"/>
      <c r="F39" s="531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3" t="s">
        <v>46</v>
      </c>
      <c r="E40" s="524"/>
      <c r="F40" s="525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18">
        <v>0</v>
      </c>
      <c r="E41" s="519"/>
      <c r="F41" s="520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18">
        <v>0</v>
      </c>
      <c r="E42" s="519"/>
      <c r="F42" s="520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18">
        <v>0</v>
      </c>
      <c r="E43" s="519"/>
      <c r="F43" s="520"/>
      <c r="G43" s="13"/>
      <c r="H43" s="13"/>
    </row>
    <row r="44" spans="1:11" ht="24" customHeight="1">
      <c r="A44" s="521" t="s">
        <v>427</v>
      </c>
      <c r="B44" s="521"/>
      <c r="C44" s="522"/>
      <c r="D44" s="522"/>
      <c r="E44" s="522"/>
      <c r="F44" s="522"/>
      <c r="G44" s="13"/>
      <c r="H44" s="13"/>
    </row>
    <row r="45" spans="1:11" ht="38.25" customHeight="1">
      <c r="A45" s="521" t="s">
        <v>424</v>
      </c>
      <c r="B45" s="521"/>
      <c r="C45" s="521" t="s">
        <v>425</v>
      </c>
      <c r="D45" s="521"/>
      <c r="E45" s="521"/>
      <c r="F45" s="521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7" t="s">
        <v>485</v>
      </c>
      <c r="C47" s="427"/>
      <c r="D47" s="28"/>
      <c r="E47" s="28"/>
      <c r="F47" s="515" t="s">
        <v>486</v>
      </c>
      <c r="G47" s="515"/>
      <c r="H47" s="515"/>
    </row>
    <row r="48" spans="1:11" ht="15.75">
      <c r="A48" s="1"/>
      <c r="B48" s="495" t="s">
        <v>64</v>
      </c>
      <c r="C48" s="495"/>
      <c r="D48" s="496" t="s">
        <v>65</v>
      </c>
      <c r="E48" s="496"/>
      <c r="F48" s="496" t="s">
        <v>66</v>
      </c>
      <c r="G48" s="496"/>
      <c r="H48" s="496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2" t="s">
        <v>444</v>
      </c>
      <c r="B4" s="532"/>
    </row>
    <row r="5" spans="1:6" ht="15.75">
      <c r="A5" s="532" t="s">
        <v>445</v>
      </c>
      <c r="B5" s="532"/>
      <c r="C5" s="532"/>
      <c r="D5" s="532"/>
      <c r="E5" s="532"/>
    </row>
    <row r="6" spans="1:6" ht="15.75">
      <c r="A6" s="532" t="s">
        <v>446</v>
      </c>
      <c r="B6" s="532"/>
      <c r="C6" s="532"/>
      <c r="D6" s="532"/>
      <c r="E6" s="532"/>
    </row>
    <row r="7" spans="1:6">
      <c r="A7" s="534" t="s">
        <v>429</v>
      </c>
      <c r="B7" s="534"/>
      <c r="C7" s="534"/>
      <c r="D7" s="534"/>
      <c r="E7" s="534"/>
    </row>
    <row r="8" spans="1:6">
      <c r="A8" s="533" t="s">
        <v>334</v>
      </c>
      <c r="B8" s="533"/>
      <c r="C8" s="533"/>
      <c r="D8" s="533"/>
      <c r="E8" s="533"/>
    </row>
    <row r="9" spans="1:6" ht="19.5" thickBot="1">
      <c r="A9" s="131"/>
      <c r="B9" s="500" t="s">
        <v>508</v>
      </c>
      <c r="C9" s="500"/>
      <c r="D9" s="540"/>
      <c r="E9" s="540"/>
      <c r="F9" s="540"/>
    </row>
    <row r="10" spans="1:6" ht="16.5" thickBot="1">
      <c r="A10" s="132" t="s">
        <v>406</v>
      </c>
      <c r="B10" s="541" t="s">
        <v>407</v>
      </c>
      <c r="C10" s="541" t="s">
        <v>70</v>
      </c>
      <c r="D10" s="543" t="s">
        <v>408</v>
      </c>
      <c r="E10" s="544"/>
      <c r="F10" s="24"/>
    </row>
    <row r="11" spans="1:6" ht="56.25" customHeight="1" thickBot="1">
      <c r="A11" s="133" t="s">
        <v>3</v>
      </c>
      <c r="B11" s="542"/>
      <c r="C11" s="542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6"/>
      <c r="D22" s="537"/>
      <c r="E22" s="538"/>
    </row>
    <row r="23" spans="1:5" ht="38.25" thickBot="1">
      <c r="A23" s="47">
        <v>9</v>
      </c>
      <c r="B23" s="35" t="s">
        <v>436</v>
      </c>
      <c r="C23" s="536"/>
      <c r="D23" s="537"/>
      <c r="E23" s="538"/>
    </row>
    <row r="24" spans="1:5" ht="42" customHeight="1" thickBot="1">
      <c r="A24" s="47">
        <v>10</v>
      </c>
      <c r="B24" s="35" t="s">
        <v>437</v>
      </c>
      <c r="C24" s="536"/>
      <c r="D24" s="537"/>
      <c r="E24" s="538"/>
    </row>
    <row r="25" spans="1:5" ht="37.5" customHeight="1" thickBot="1">
      <c r="A25" s="47">
        <v>11</v>
      </c>
      <c r="B25" s="35" t="s">
        <v>438</v>
      </c>
      <c r="C25" s="536"/>
      <c r="D25" s="537"/>
      <c r="E25" s="538"/>
    </row>
    <row r="26" spans="1:5" ht="45" customHeight="1" thickBot="1">
      <c r="A26" s="47">
        <v>12</v>
      </c>
      <c r="B26" s="35" t="s">
        <v>439</v>
      </c>
      <c r="C26" s="536"/>
      <c r="D26" s="537"/>
      <c r="E26" s="538"/>
    </row>
    <row r="27" spans="1:5" ht="43.5" customHeight="1" thickBot="1">
      <c r="A27" s="47">
        <v>13</v>
      </c>
      <c r="B27" s="35" t="s">
        <v>440</v>
      </c>
      <c r="C27" s="536"/>
      <c r="D27" s="537"/>
      <c r="E27" s="538"/>
    </row>
    <row r="28" spans="1:5" ht="45" customHeight="1" thickBot="1">
      <c r="A28" s="47">
        <v>14</v>
      </c>
      <c r="B28" s="35" t="s">
        <v>441</v>
      </c>
      <c r="C28" s="536"/>
      <c r="D28" s="537"/>
      <c r="E28" s="538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39"/>
      <c r="C31" s="539"/>
    </row>
    <row r="32" spans="1:5" ht="32.25" customHeight="1">
      <c r="A32" s="60" t="s">
        <v>365</v>
      </c>
      <c r="B32" s="535" t="s">
        <v>443</v>
      </c>
      <c r="C32" s="535"/>
      <c r="D32" s="535"/>
      <c r="E32" s="535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5" t="s">
        <v>473</v>
      </c>
      <c r="B9" s="545"/>
      <c r="C9" s="545"/>
      <c r="D9" s="545"/>
      <c r="E9" s="545"/>
      <c r="F9" s="545"/>
      <c r="G9" s="545"/>
    </row>
    <row r="10" spans="1:10" ht="26.25" customHeight="1">
      <c r="A10" s="545" t="s">
        <v>474</v>
      </c>
      <c r="B10" s="545"/>
      <c r="C10" s="545"/>
      <c r="D10" s="545"/>
      <c r="E10" s="545"/>
      <c r="F10" s="545"/>
      <c r="G10" s="545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59" t="s">
        <v>69</v>
      </c>
      <c r="B13" s="547" t="s">
        <v>455</v>
      </c>
      <c r="C13" s="549"/>
      <c r="D13" s="66" t="s">
        <v>456</v>
      </c>
      <c r="E13" s="553" t="s">
        <v>457</v>
      </c>
      <c r="F13" s="554"/>
      <c r="G13" s="555"/>
    </row>
    <row r="14" spans="1:10" ht="61.5" customHeight="1" thickBot="1">
      <c r="A14" s="560"/>
      <c r="B14" s="564"/>
      <c r="C14" s="565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3">
        <v>2</v>
      </c>
      <c r="C15" s="555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3"/>
      <c r="C16" s="555"/>
      <c r="D16" s="26"/>
      <c r="E16" s="26"/>
      <c r="F16" s="26"/>
      <c r="G16" s="26"/>
    </row>
    <row r="17" spans="1:7" ht="32.25" customHeight="1" thickBot="1">
      <c r="A17" s="44"/>
      <c r="B17" s="553"/>
      <c r="C17" s="555"/>
      <c r="D17" s="26"/>
      <c r="E17" s="26"/>
      <c r="F17" s="26"/>
      <c r="G17" s="26"/>
    </row>
    <row r="18" spans="1:7" ht="42" customHeight="1" thickBot="1">
      <c r="A18" s="556" t="s">
        <v>460</v>
      </c>
      <c r="B18" s="557"/>
      <c r="C18" s="558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6" t="s">
        <v>462</v>
      </c>
      <c r="B23" s="546"/>
      <c r="C23" s="546"/>
      <c r="D23" s="546"/>
      <c r="E23" s="546"/>
    </row>
    <row r="24" spans="1:7" ht="18" customHeight="1" thickBot="1"/>
    <row r="25" spans="1:7" ht="53.25" customHeight="1">
      <c r="A25" s="547" t="s">
        <v>463</v>
      </c>
      <c r="B25" s="549"/>
      <c r="C25" s="74" t="s">
        <v>464</v>
      </c>
      <c r="D25" s="42" t="s">
        <v>470</v>
      </c>
      <c r="E25" s="547" t="s">
        <v>468</v>
      </c>
      <c r="F25" s="548"/>
      <c r="G25" s="549"/>
    </row>
    <row r="26" spans="1:7" ht="18.75" customHeight="1">
      <c r="A26" s="550"/>
      <c r="B26" s="552"/>
      <c r="C26" s="43" t="s">
        <v>465</v>
      </c>
      <c r="D26" s="75" t="s">
        <v>466</v>
      </c>
      <c r="E26" s="550" t="s">
        <v>469</v>
      </c>
      <c r="F26" s="551"/>
      <c r="G26" s="552"/>
    </row>
    <row r="27" spans="1:7" ht="24" customHeight="1">
      <c r="A27" s="550"/>
      <c r="B27" s="552"/>
      <c r="C27" s="43"/>
      <c r="D27" s="69" t="s">
        <v>472</v>
      </c>
      <c r="E27" s="550"/>
      <c r="F27" s="551"/>
      <c r="G27" s="552"/>
    </row>
    <row r="28" spans="1:7" ht="17.25" customHeight="1">
      <c r="A28" s="550"/>
      <c r="B28" s="552"/>
      <c r="C28" s="70"/>
      <c r="D28" s="43" t="s">
        <v>467</v>
      </c>
      <c r="E28" s="550"/>
      <c r="F28" s="551"/>
      <c r="G28" s="552"/>
    </row>
    <row r="29" spans="1:7" ht="20.25" customHeight="1" thickBot="1">
      <c r="A29" s="561"/>
      <c r="B29" s="563"/>
      <c r="C29" s="25"/>
      <c r="D29" s="43" t="s">
        <v>471</v>
      </c>
      <c r="E29" s="561"/>
      <c r="F29" s="562"/>
      <c r="G29" s="563"/>
    </row>
    <row r="30" spans="1:7" ht="30" customHeight="1" thickBot="1">
      <c r="A30" s="567">
        <v>1</v>
      </c>
      <c r="B30" s="568"/>
      <c r="C30" s="71">
        <v>2</v>
      </c>
      <c r="D30" s="65">
        <v>3</v>
      </c>
      <c r="E30" s="543">
        <v>4</v>
      </c>
      <c r="F30" s="566"/>
      <c r="G30" s="544"/>
    </row>
    <row r="31" spans="1:7" ht="33" customHeight="1" thickBot="1">
      <c r="A31" s="72"/>
      <c r="B31" s="73"/>
      <c r="C31" s="62"/>
      <c r="D31" s="62"/>
      <c r="E31" s="543"/>
      <c r="F31" s="566"/>
      <c r="G31" s="544"/>
    </row>
    <row r="32" spans="1:7" ht="33.75" customHeight="1" thickBot="1">
      <c r="A32" s="543"/>
      <c r="B32" s="544"/>
      <c r="C32" s="62"/>
      <c r="D32" s="62"/>
      <c r="E32" s="543"/>
      <c r="F32" s="566"/>
      <c r="G32" s="544"/>
    </row>
    <row r="33" spans="1:7" ht="35.25" customHeight="1"/>
    <row r="34" spans="1:7" ht="41.25" customHeight="1">
      <c r="A34" s="546" t="s">
        <v>476</v>
      </c>
      <c r="B34" s="546"/>
      <c r="C34" s="546"/>
      <c r="D34" s="546"/>
      <c r="E34" s="546"/>
    </row>
    <row r="35" spans="1:7" ht="24.75" customHeight="1" thickBot="1"/>
    <row r="36" spans="1:7" ht="33.75" customHeight="1" thickBot="1">
      <c r="A36" s="547" t="s">
        <v>477</v>
      </c>
      <c r="B36" s="549"/>
      <c r="C36" s="553" t="s">
        <v>479</v>
      </c>
      <c r="D36" s="554"/>
      <c r="E36" s="548"/>
      <c r="F36" s="548"/>
      <c r="G36" s="549"/>
    </row>
    <row r="37" spans="1:7" ht="31.5" customHeight="1">
      <c r="A37" s="550" t="s">
        <v>478</v>
      </c>
      <c r="B37" s="552"/>
      <c r="C37" s="68" t="s">
        <v>480</v>
      </c>
      <c r="D37" s="67" t="s">
        <v>458</v>
      </c>
      <c r="E37" s="547" t="s">
        <v>459</v>
      </c>
      <c r="F37" s="548"/>
      <c r="G37" s="549"/>
    </row>
    <row r="38" spans="1:7" ht="26.25" customHeight="1" thickBot="1">
      <c r="A38" s="570"/>
      <c r="B38" s="571"/>
      <c r="C38" s="26" t="s">
        <v>481</v>
      </c>
      <c r="D38" s="77" t="s">
        <v>481</v>
      </c>
      <c r="E38" s="561" t="s">
        <v>481</v>
      </c>
      <c r="F38" s="562"/>
      <c r="G38" s="563"/>
    </row>
    <row r="39" spans="1:7" ht="31.5" customHeight="1" thickBot="1">
      <c r="A39" s="553">
        <v>1</v>
      </c>
      <c r="B39" s="555"/>
      <c r="C39" s="26">
        <v>2</v>
      </c>
      <c r="D39" s="26">
        <v>3</v>
      </c>
      <c r="E39" s="553">
        <v>4</v>
      </c>
      <c r="F39" s="554"/>
      <c r="G39" s="555"/>
    </row>
    <row r="40" spans="1:7" ht="39" customHeight="1" thickBot="1">
      <c r="A40" s="553"/>
      <c r="B40" s="555"/>
      <c r="C40" s="26"/>
      <c r="D40" s="26"/>
      <c r="E40" s="553"/>
      <c r="F40" s="554"/>
      <c r="G40" s="555"/>
    </row>
    <row r="41" spans="1:7" ht="36.75" customHeight="1" thickBot="1">
      <c r="A41" s="553"/>
      <c r="B41" s="555"/>
      <c r="C41" s="26"/>
      <c r="D41" s="26"/>
      <c r="E41" s="553"/>
      <c r="F41" s="554"/>
      <c r="G41" s="555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6" t="s">
        <v>485</v>
      </c>
      <c r="B45" s="426"/>
      <c r="C45" s="91"/>
      <c r="D45" s="93" t="s">
        <v>472</v>
      </c>
      <c r="E45" s="417" t="s">
        <v>490</v>
      </c>
      <c r="F45" s="417"/>
      <c r="G45" s="91"/>
    </row>
    <row r="46" spans="1:7" ht="15.75">
      <c r="A46" s="569" t="s">
        <v>64</v>
      </c>
      <c r="B46" s="569"/>
      <c r="D46" s="63" t="s">
        <v>65</v>
      </c>
      <c r="E46" s="569" t="s">
        <v>66</v>
      </c>
      <c r="F46" s="569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9" sqref="H9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4" t="s">
        <v>559</v>
      </c>
      <c r="B3" s="374"/>
      <c r="C3" s="374"/>
      <c r="D3" s="374"/>
      <c r="E3" s="374"/>
      <c r="F3" s="374"/>
      <c r="G3" s="374"/>
    </row>
    <row r="4" spans="1:9" ht="21" customHeight="1">
      <c r="A4" s="374" t="s">
        <v>560</v>
      </c>
      <c r="B4" s="374"/>
      <c r="C4" s="374"/>
      <c r="D4" s="374"/>
      <c r="E4" s="374"/>
      <c r="F4" s="374"/>
      <c r="G4" s="374"/>
    </row>
    <row r="5" spans="1:9" ht="21" customHeight="1">
      <c r="A5" s="374" t="s">
        <v>561</v>
      </c>
      <c r="B5" s="374"/>
      <c r="C5" s="374"/>
      <c r="D5" s="374"/>
      <c r="E5" s="374"/>
      <c r="F5" s="374"/>
      <c r="G5" s="374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5"/>
      <c r="B7" s="375"/>
      <c r="C7" s="375"/>
      <c r="D7" s="375"/>
      <c r="E7" s="375"/>
      <c r="F7" s="375"/>
      <c r="G7" s="375"/>
    </row>
    <row r="8" spans="1:9" ht="18.75" customHeight="1">
      <c r="A8" s="375" t="s">
        <v>570</v>
      </c>
      <c r="B8" s="375"/>
      <c r="C8" s="375"/>
      <c r="D8" s="375"/>
      <c r="E8" s="375"/>
      <c r="F8" s="375"/>
      <c r="G8" s="375"/>
    </row>
    <row r="9" spans="1:9" ht="24" thickBot="1">
      <c r="A9" s="229"/>
      <c r="B9" s="368" t="s">
        <v>566</v>
      </c>
      <c r="C9" s="368"/>
      <c r="D9" s="369"/>
      <c r="E9" s="369"/>
      <c r="F9" s="369"/>
      <c r="G9" s="230" t="s">
        <v>87</v>
      </c>
    </row>
    <row r="10" spans="1:9" ht="24" thickBot="1">
      <c r="A10" s="231"/>
      <c r="B10" s="232"/>
      <c r="C10" s="293"/>
      <c r="D10" s="370" t="s">
        <v>70</v>
      </c>
      <c r="E10" s="371"/>
      <c r="F10" s="371"/>
      <c r="G10" s="371"/>
      <c r="H10" s="372"/>
      <c r="I10" s="373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3.6</v>
      </c>
      <c r="H24" s="272">
        <f>ROUND(H25+H26+H27,2)</f>
        <v>3.49</v>
      </c>
      <c r="I24" s="272">
        <f>ROUND(I25+I26+I27,2)</f>
        <v>0.11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2.4499999999999997</v>
      </c>
      <c r="H25" s="273">
        <f>ROUND('[1]Витрати 20 -21'!$BC$16*'[1]Витрати 20 -21'!$BL$29%,2)</f>
        <v>2.38</v>
      </c>
      <c r="I25" s="273">
        <f>ROUND('[1]Витрати 20 -21'!$BD$16*'[1]Витрати 20 -21'!$BM$29%,2)</f>
        <v>7.0000000000000007E-2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0.54</v>
      </c>
      <c r="H26" s="272">
        <f>ROUND(H25*22%,2)</f>
        <v>0.52</v>
      </c>
      <c r="I26" s="272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0.61</v>
      </c>
      <c r="H27" s="273">
        <f>ROUND('[1]Витрати 20 -21'!$BI$16*'[1]Витрати 20 -21'!$BL$29%,2)</f>
        <v>0.59</v>
      </c>
      <c r="I27" s="277">
        <f>ROUND('[1]Витрати 20 -21'!$BJ$16*'[1]Витрати 20 -21'!$BM$29%,2)</f>
        <v>0.02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55.650000000000006</v>
      </c>
      <c r="H28" s="272">
        <f>ROUND(H29+H30+H31,2)</f>
        <v>54.06</v>
      </c>
      <c r="I28" s="272">
        <f>ROUND(I29+I30+I31,2)</f>
        <v>1.59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45.61</v>
      </c>
      <c r="H29" s="273">
        <f>ROUND('[1]Витрати 20 -21'!$BO$16,2)</f>
        <v>44.31</v>
      </c>
      <c r="I29" s="273">
        <f>ROUND('[1]Витрати 20 -21'!$BP$16,2)</f>
        <v>1.3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10.039999999999999</v>
      </c>
      <c r="H30" s="272">
        <f>ROUND(H29*22%,2)</f>
        <v>9.75</v>
      </c>
      <c r="I30" s="272">
        <f>ROUND(I29*22%,2)</f>
        <v>0.28999999999999998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20 -21'!$BU$16,2)</f>
        <v>0</v>
      </c>
      <c r="I31" s="273">
        <f>ROUND('[1]Витрати 20 -21'!$BV$16,2)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59.25</v>
      </c>
      <c r="H34" s="272">
        <f>ROUND(H13+H24+H28+H32+H33,2)</f>
        <v>57.55</v>
      </c>
      <c r="I34" s="272">
        <f>ROUND(I13+I24+I28+I32+I33,2)</f>
        <v>1.7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4.68</v>
      </c>
      <c r="H36" s="272">
        <f>ROUND(H37+H38+H39+H40+H41,2)</f>
        <v>4.55</v>
      </c>
      <c r="I36" s="272">
        <f>ROUND(I37+I38+I39+I40+I41,2)</f>
        <v>0.13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0.84</v>
      </c>
      <c r="H37" s="275">
        <f>ROUND(18%*(H38+H39+H40+H41)/82%,2)</f>
        <v>0.82</v>
      </c>
      <c r="I37" s="275">
        <f>ROUND(18%*(I38+I39+I40+I41)/82%,2)</f>
        <v>0.02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1.47</v>
      </c>
      <c r="H39" s="273">
        <f>ROUND('[1]Витрати 20 -21'!$CJ$16*'[1]Витрати 20 -21'!$BL$29%,2)</f>
        <v>1.43</v>
      </c>
      <c r="I39" s="273">
        <f>ROUND('[1]Витрати 20 -21'!$CK$16*'[1]Витрати 20 -21'!$BM$29%,2)</f>
        <v>0.04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20 -21'!$CG$16*'[1]Витрати 20 -21'!$BL$29%,2)</f>
        <v>0</v>
      </c>
      <c r="I40" s="273">
        <f>ROUND('[1]Витрати 20 -21'!$CH$16*'[1]Витрати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2.3699999999999997</v>
      </c>
      <c r="H41" s="272">
        <f>ROUND(H34*4%,2)</f>
        <v>2.2999999999999998</v>
      </c>
      <c r="I41" s="272">
        <f>ROUND(I34*4%,2)</f>
        <v>7.0000000000000007E-2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63.93</v>
      </c>
      <c r="H42" s="272">
        <f>ROUND(H34+H36,2)</f>
        <v>62.1</v>
      </c>
      <c r="I42" s="272">
        <f>ROUND(I34+I36,2)</f>
        <v>1.83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54.320672954371652</v>
      </c>
      <c r="H43" s="272">
        <f>ROUND(H42/H44*1000,2)</f>
        <v>54.31</v>
      </c>
      <c r="I43" s="272">
        <f>ROUND(I42/I44*1000,2)</f>
        <v>54.53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1176.9000000000001</v>
      </c>
      <c r="H44" s="281">
        <f>ROUND('Додаток 1'!K67,3)</f>
        <v>1143.3430000000001</v>
      </c>
      <c r="I44" s="281">
        <f>ROUND('Додаток 1'!AA67,3)</f>
        <v>33.557000000000002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1143.3399999999999</v>
      </c>
      <c r="H45" s="272">
        <f>ROUND(H44,2)</f>
        <v>1143.3399999999999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33.557000000000002</v>
      </c>
      <c r="H48" s="272">
        <v>0</v>
      </c>
      <c r="I48" s="280">
        <f>I44</f>
        <v>33.557000000000002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7" t="s">
        <v>486</v>
      </c>
      <c r="G52" s="367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A6" sqref="A6:K6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5" t="s">
        <v>563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2" ht="25.5" customHeight="1">
      <c r="A7" s="375" t="s">
        <v>571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6" t="s">
        <v>69</v>
      </c>
      <c r="C9" s="376" t="s">
        <v>89</v>
      </c>
      <c r="D9" s="378" t="s">
        <v>5</v>
      </c>
      <c r="E9" s="379"/>
      <c r="F9" s="376" t="s">
        <v>6</v>
      </c>
      <c r="G9" s="382" t="s">
        <v>90</v>
      </c>
      <c r="H9" s="383"/>
      <c r="I9" s="383"/>
      <c r="J9" s="383"/>
      <c r="K9" s="384"/>
      <c r="L9" s="5"/>
    </row>
    <row r="10" spans="1:12" ht="58.5" customHeight="1" thickBot="1">
      <c r="A10" s="287"/>
      <c r="B10" s="377"/>
      <c r="C10" s="377"/>
      <c r="D10" s="380"/>
      <c r="E10" s="381"/>
      <c r="F10" s="377"/>
      <c r="G10" s="382" t="s">
        <v>82</v>
      </c>
      <c r="H10" s="384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5">
        <v>3</v>
      </c>
      <c r="E11" s="386"/>
      <c r="F11" s="33">
        <v>4</v>
      </c>
      <c r="G11" s="385">
        <v>5</v>
      </c>
      <c r="H11" s="386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7" t="s">
        <v>53</v>
      </c>
      <c r="E12" s="388"/>
      <c r="F12" s="244">
        <f>ROUND('Додаток 1'!G59,2)</f>
        <v>1775.18</v>
      </c>
      <c r="G12" s="389">
        <f>ROUND('Додаток 1'!K59,2)</f>
        <v>1775.02</v>
      </c>
      <c r="H12" s="390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1780.55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1" t="s">
        <v>53</v>
      </c>
      <c r="E13" s="392"/>
      <c r="F13" s="219">
        <f>('Додаток 1'!G49)/F37*1000</f>
        <v>1644.3623077576683</v>
      </c>
      <c r="G13" s="393">
        <f>('Додаток 1'!K49)/G37*1000</f>
        <v>1644.2047574524881</v>
      </c>
      <c r="H13" s="394"/>
      <c r="I13" s="219">
        <v>0</v>
      </c>
      <c r="J13" s="219">
        <v>0</v>
      </c>
      <c r="K13" s="221">
        <f>('Додаток 1'!AA49)/K37*1000</f>
        <v>1649.7303096224334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1" t="s">
        <v>21</v>
      </c>
      <c r="E14" s="392"/>
      <c r="F14" s="182">
        <v>0</v>
      </c>
      <c r="G14" s="395">
        <v>0</v>
      </c>
      <c r="H14" s="39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1" t="s">
        <v>53</v>
      </c>
      <c r="E15" s="392"/>
      <c r="F15" s="219">
        <f>F12-F13</f>
        <v>130.81769224233176</v>
      </c>
      <c r="G15" s="397">
        <f>G12-G13</f>
        <v>130.81524254751184</v>
      </c>
      <c r="H15" s="398"/>
      <c r="I15" s="219">
        <v>0</v>
      </c>
      <c r="J15" s="219">
        <v>0</v>
      </c>
      <c r="K15" s="219">
        <f>K12-K13</f>
        <v>130.81969037756653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7" t="s">
        <v>53</v>
      </c>
      <c r="E16" s="388"/>
      <c r="F16" s="244">
        <f>F17+F18+F19</f>
        <v>0</v>
      </c>
      <c r="G16" s="389">
        <f t="shared" ref="G16:K16" si="1">G17+G18+G19</f>
        <v>0</v>
      </c>
      <c r="H16" s="390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1" t="s">
        <v>53</v>
      </c>
      <c r="E17" s="392"/>
      <c r="F17" s="182">
        <f>G17+I17+J17+K17</f>
        <v>0</v>
      </c>
      <c r="G17" s="395">
        <v>0</v>
      </c>
      <c r="H17" s="39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1" t="s">
        <v>21</v>
      </c>
      <c r="E18" s="392"/>
      <c r="F18" s="182">
        <f>G18+I18+J18+K18</f>
        <v>0</v>
      </c>
      <c r="G18" s="395">
        <v>0</v>
      </c>
      <c r="H18" s="39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1" t="s">
        <v>53</v>
      </c>
      <c r="E19" s="392"/>
      <c r="F19" s="182">
        <f>G19+I19+J19+K19</f>
        <v>0</v>
      </c>
      <c r="G19" s="395">
        <v>0</v>
      </c>
      <c r="H19" s="39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7" t="s">
        <v>53</v>
      </c>
      <c r="E20" s="388"/>
      <c r="F20" s="244">
        <f>ROUND('Додаток 3'!G43,2)</f>
        <v>54.32</v>
      </c>
      <c r="G20" s="389">
        <f>ROUND('Додаток 3'!H43,2)</f>
        <v>54.31</v>
      </c>
      <c r="H20" s="390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54.53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1" t="s">
        <v>53</v>
      </c>
      <c r="E21" s="392"/>
      <c r="F21" s="219">
        <f>('Додаток 3'!G34)/F37*1000</f>
        <v>50.344124394595973</v>
      </c>
      <c r="G21" s="393">
        <f>('Додаток 3'!H34)/G37*1000</f>
        <v>50.334851396300145</v>
      </c>
      <c r="H21" s="394"/>
      <c r="I21" s="219">
        <v>0</v>
      </c>
      <c r="J21" s="219">
        <v>0</v>
      </c>
      <c r="K21" s="219">
        <f>('Додаток 3'!I34)/K37*1000</f>
        <v>50.660070924099294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1" t="s">
        <v>21</v>
      </c>
      <c r="E22" s="392"/>
      <c r="F22" s="182">
        <f t="shared" ref="F22:F26" si="3">G22+I22+J22+K22</f>
        <v>0</v>
      </c>
      <c r="G22" s="395">
        <v>0</v>
      </c>
      <c r="H22" s="39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1" t="s">
        <v>53</v>
      </c>
      <c r="E23" s="392"/>
      <c r="F23" s="219">
        <f>F20-F21</f>
        <v>3.9758756054040276</v>
      </c>
      <c r="G23" s="397">
        <f>G20-G21</f>
        <v>3.9751486036998571</v>
      </c>
      <c r="H23" s="398"/>
      <c r="I23" s="219">
        <v>0</v>
      </c>
      <c r="J23" s="219">
        <v>0</v>
      </c>
      <c r="K23" s="219">
        <f>K20-K21</f>
        <v>3.869929075900707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7" t="s">
        <v>53</v>
      </c>
      <c r="E24" s="388"/>
      <c r="F24" s="244">
        <f>F12+F16+F20</f>
        <v>1829.5</v>
      </c>
      <c r="G24" s="389">
        <f>G12+G16+G20</f>
        <v>1829.33</v>
      </c>
      <c r="H24" s="390"/>
      <c r="I24" s="244">
        <f t="shared" ref="I24:J24" si="4">I12+I20</f>
        <v>0</v>
      </c>
      <c r="J24" s="244">
        <f t="shared" si="4"/>
        <v>0</v>
      </c>
      <c r="K24" s="244">
        <f>K12+K16+K20</f>
        <v>1835.08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1" t="s">
        <v>53</v>
      </c>
      <c r="E25" s="392"/>
      <c r="F25" s="182">
        <f>F13+F17+F21</f>
        <v>1694.7064321522644</v>
      </c>
      <c r="G25" s="399">
        <f>G13+G17+G21</f>
        <v>1694.5396088487882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1700.3903805465327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1" t="s">
        <v>21</v>
      </c>
      <c r="E26" s="392"/>
      <c r="F26" s="182">
        <f t="shared" si="3"/>
        <v>0</v>
      </c>
      <c r="G26" s="395">
        <f>G14+G18+G22</f>
        <v>0</v>
      </c>
      <c r="H26" s="39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1" t="s">
        <v>53</v>
      </c>
      <c r="E27" s="392"/>
      <c r="F27" s="182">
        <f>F15+F19+F23</f>
        <v>134.7935678477358</v>
      </c>
      <c r="G27" s="399">
        <f>G15+G19+G23</f>
        <v>134.79039115121171</v>
      </c>
      <c r="H27" s="400"/>
      <c r="I27" s="182">
        <v>0</v>
      </c>
      <c r="J27" s="182">
        <f t="shared" ref="J27" si="6">J24-J25-J26</f>
        <v>0</v>
      </c>
      <c r="K27" s="182">
        <f>K15+K19+K23</f>
        <v>134.68961945346723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1" t="s">
        <v>21</v>
      </c>
      <c r="E28" s="392"/>
      <c r="F28" s="182">
        <f>F29+F30+F31</f>
        <v>2153.14</v>
      </c>
      <c r="G28" s="401">
        <f>G29+G30+G31</f>
        <v>2091.56</v>
      </c>
      <c r="H28" s="402"/>
      <c r="I28" s="263">
        <f t="shared" ref="I28:J29" si="7">I29+I30+I31</f>
        <v>0</v>
      </c>
      <c r="J28" s="263">
        <f t="shared" si="7"/>
        <v>0</v>
      </c>
      <c r="K28" s="263">
        <f>K29+K30+K31</f>
        <v>61.58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1" t="s">
        <v>21</v>
      </c>
      <c r="E29" s="392"/>
      <c r="F29" s="263">
        <f>G29+K29</f>
        <v>1994.5</v>
      </c>
      <c r="G29" s="403">
        <f>ROUND('Додаток 1'!K49+'Додаток 3'!H34,2)</f>
        <v>1937.44</v>
      </c>
      <c r="H29" s="404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57.06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1" t="s">
        <v>21</v>
      </c>
      <c r="E30" s="392"/>
      <c r="F30" s="263">
        <v>0</v>
      </c>
      <c r="G30" s="405">
        <v>0</v>
      </c>
      <c r="H30" s="406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1" t="s">
        <v>21</v>
      </c>
      <c r="E31" s="392"/>
      <c r="F31" s="263">
        <f>G31+K31</f>
        <v>158.64000000000001</v>
      </c>
      <c r="G31" s="403">
        <f>ROUND('Додаток 1'!K51+'Додаток 3'!H36,2)</f>
        <v>154.12</v>
      </c>
      <c r="H31" s="404"/>
      <c r="I31" s="263">
        <v>0</v>
      </c>
      <c r="J31" s="263">
        <v>0</v>
      </c>
      <c r="K31" s="257">
        <f>ROUND('Додаток 1'!AA51+'Додаток 3'!I36,2)</f>
        <v>4.5199999999999996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1" t="s">
        <v>21</v>
      </c>
      <c r="E32" s="392"/>
      <c r="F32" s="182">
        <f>F33+F34+F35</f>
        <v>2153.14</v>
      </c>
      <c r="G32" s="399">
        <f t="shared" ref="G32:K32" si="8">G28</f>
        <v>2091.56</v>
      </c>
      <c r="H32" s="400"/>
      <c r="I32" s="182">
        <v>0</v>
      </c>
      <c r="J32" s="182">
        <v>0</v>
      </c>
      <c r="K32" s="182">
        <f t="shared" si="8"/>
        <v>61.58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1" t="s">
        <v>21</v>
      </c>
      <c r="E33" s="392"/>
      <c r="F33" s="182">
        <f>F29</f>
        <v>1994.5</v>
      </c>
      <c r="G33" s="399">
        <f t="shared" ref="G33:K33" si="9">G29</f>
        <v>1937.44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57.06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1" t="s">
        <v>21</v>
      </c>
      <c r="E34" s="392"/>
      <c r="F34" s="182">
        <v>0</v>
      </c>
      <c r="G34" s="395">
        <v>0</v>
      </c>
      <c r="H34" s="39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1" t="s">
        <v>21</v>
      </c>
      <c r="E35" s="392"/>
      <c r="F35" s="182">
        <f>F31</f>
        <v>158.64000000000001</v>
      </c>
      <c r="G35" s="399">
        <f t="shared" ref="G35:K35" si="10">G32-G33-G34</f>
        <v>154.11999999999989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4.519999999999996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1" t="s">
        <v>57</v>
      </c>
      <c r="E36" s="392"/>
      <c r="F36" s="190">
        <f>F37+F38</f>
        <v>1176.9000000000001</v>
      </c>
      <c r="G36" s="407">
        <f t="shared" ref="G36:K36" si="11">G37+G38</f>
        <v>1143.3430000000001</v>
      </c>
      <c r="H36" s="408"/>
      <c r="I36" s="190">
        <f t="shared" si="11"/>
        <v>0</v>
      </c>
      <c r="J36" s="190">
        <f t="shared" si="11"/>
        <v>0</v>
      </c>
      <c r="K36" s="190">
        <f t="shared" si="11"/>
        <v>33.557000000000002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1" t="s">
        <v>57</v>
      </c>
      <c r="E37" s="392"/>
      <c r="F37" s="190">
        <f>G37+K37</f>
        <v>1176.9000000000001</v>
      </c>
      <c r="G37" s="409">
        <f>'Додаток 1'!K67</f>
        <v>1143.3430000000001</v>
      </c>
      <c r="H37" s="410"/>
      <c r="I37" s="190">
        <v>0</v>
      </c>
      <c r="J37" s="190">
        <v>0</v>
      </c>
      <c r="K37" s="279">
        <f>'Додаток 1'!AA67</f>
        <v>33.557000000000002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1" t="s">
        <v>57</v>
      </c>
      <c r="E38" s="392"/>
      <c r="F38" s="190">
        <v>0</v>
      </c>
      <c r="G38" s="411">
        <v>0</v>
      </c>
      <c r="H38" s="41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3"/>
      <c r="E39" s="414"/>
      <c r="F39" s="266" t="s">
        <v>129</v>
      </c>
      <c r="G39" s="415" t="s">
        <v>129</v>
      </c>
      <c r="H39" s="41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1" t="s">
        <v>111</v>
      </c>
      <c r="E40" s="392"/>
      <c r="F40" s="263">
        <f>F15/F13*100</f>
        <v>7.9555272962149735</v>
      </c>
      <c r="G40" s="401">
        <f t="shared" ref="G40:K40" si="12">G15/G13*100</f>
        <v>7.9561406178020961</v>
      </c>
      <c r="H40" s="402"/>
      <c r="I40" s="263">
        <v>0</v>
      </c>
      <c r="J40" s="263">
        <v>0</v>
      </c>
      <c r="K40" s="263">
        <f t="shared" si="12"/>
        <v>7.9297621929190747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1" t="s">
        <v>111</v>
      </c>
      <c r="E41" s="392"/>
      <c r="F41" s="263">
        <v>0</v>
      </c>
      <c r="G41" s="401">
        <v>0</v>
      </c>
      <c r="H41" s="40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18" t="s">
        <v>111</v>
      </c>
      <c r="E42" s="336"/>
      <c r="F42" s="264">
        <f>F23/F21*100</f>
        <v>7.8973974683544306</v>
      </c>
      <c r="G42" s="419">
        <f t="shared" ref="G42:K42" si="13">G23/G21*100</f>
        <v>7.8974080451781168</v>
      </c>
      <c r="H42" s="420"/>
      <c r="I42" s="264">
        <v>0</v>
      </c>
      <c r="J42" s="264">
        <v>0</v>
      </c>
      <c r="K42" s="264">
        <f t="shared" si="13"/>
        <v>7.6390123529411786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1" t="s">
        <v>111</v>
      </c>
      <c r="E43" s="422"/>
      <c r="F43" s="265">
        <f>F27/F25*100</f>
        <v>7.9538004512409266</v>
      </c>
      <c r="G43" s="423">
        <f t="shared" ref="G43:K43" si="14">G27/G25*100</f>
        <v>7.9543960169089019</v>
      </c>
      <c r="H43" s="424"/>
      <c r="I43" s="265">
        <v>0</v>
      </c>
      <c r="J43" s="265">
        <v>0</v>
      </c>
      <c r="K43" s="265">
        <f t="shared" si="14"/>
        <v>7.9210998247458821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5" t="s">
        <v>497</v>
      </c>
      <c r="C45" s="425"/>
      <c r="D45" s="425"/>
      <c r="E45" s="425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6" t="s">
        <v>564</v>
      </c>
      <c r="B46" s="426"/>
      <c r="C46" s="426"/>
      <c r="D46" s="426"/>
      <c r="E46" s="427"/>
      <c r="F46" s="427"/>
      <c r="G46" s="427"/>
      <c r="H46" s="417" t="s">
        <v>486</v>
      </c>
      <c r="I46" s="417"/>
      <c r="J46" s="417"/>
      <c r="K46" s="417"/>
      <c r="L46" s="417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7"/>
      <c r="E8" s="437"/>
      <c r="F8" s="437"/>
    </row>
    <row r="9" spans="1:18" ht="20.25" customHeight="1">
      <c r="B9" s="438"/>
      <c r="C9" s="438"/>
      <c r="D9" s="150"/>
      <c r="E9" s="150"/>
      <c r="F9" s="150"/>
    </row>
    <row r="10" spans="1:18" ht="20.25" customHeight="1">
      <c r="A10" s="24"/>
      <c r="B10" s="439"/>
      <c r="C10" s="439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40"/>
      <c r="C12" s="440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28" t="s">
        <v>512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514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68" t="s">
        <v>515</v>
      </c>
      <c r="H19" s="368"/>
      <c r="I19" s="368"/>
      <c r="J19" s="368"/>
      <c r="K19" s="368"/>
    </row>
    <row r="20" spans="1:19" ht="25.5" customHeight="1" thickBot="1">
      <c r="B20" s="154" t="s">
        <v>2</v>
      </c>
      <c r="C20" s="433" t="s">
        <v>4</v>
      </c>
      <c r="D20" s="143" t="s">
        <v>176</v>
      </c>
      <c r="E20" s="143" t="s">
        <v>178</v>
      </c>
      <c r="F20" s="433" t="s">
        <v>135</v>
      </c>
      <c r="G20" s="433" t="s">
        <v>136</v>
      </c>
      <c r="H20" s="370" t="s">
        <v>137</v>
      </c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436"/>
    </row>
    <row r="21" spans="1:19" ht="85.5" customHeight="1" thickBot="1">
      <c r="B21" s="155" t="s">
        <v>3</v>
      </c>
      <c r="C21" s="434"/>
      <c r="D21" s="144" t="s">
        <v>177</v>
      </c>
      <c r="E21" s="144" t="s">
        <v>179</v>
      </c>
      <c r="F21" s="434"/>
      <c r="G21" s="434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2" t="s">
        <v>538</v>
      </c>
      <c r="D8" s="462"/>
      <c r="E8" s="462"/>
      <c r="F8" s="462"/>
      <c r="G8" s="462"/>
      <c r="H8" s="462"/>
      <c r="I8" s="462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0" t="s">
        <v>196</v>
      </c>
      <c r="E9" s="461"/>
      <c r="F9" s="188" t="s">
        <v>531</v>
      </c>
      <c r="G9" s="460" t="s">
        <v>532</v>
      </c>
      <c r="H9" s="461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5">
        <v>4</v>
      </c>
      <c r="E10" s="386"/>
      <c r="F10" s="33">
        <v>5</v>
      </c>
      <c r="G10" s="385">
        <v>6</v>
      </c>
      <c r="H10" s="386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4">
        <f>D15+D14+D13+D12</f>
        <v>103.922</v>
      </c>
      <c r="E11" s="455"/>
      <c r="F11" s="246">
        <v>8265</v>
      </c>
      <c r="G11" s="458">
        <f t="shared" ref="G11:J11" si="0">G12+G13+G14+G15</f>
        <v>76.822999999999993</v>
      </c>
      <c r="H11" s="45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4">
        <v>91.432000000000002</v>
      </c>
      <c r="E12" s="455"/>
      <c r="F12" s="246">
        <v>8265</v>
      </c>
      <c r="G12" s="458">
        <f>'[1]Витрати 20 -21'!$CW$15/1000</f>
        <v>71.191999999999993</v>
      </c>
      <c r="H12" s="45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4">
        <f t="shared" ref="D13:D14" si="2">B13*C13</f>
        <v>0</v>
      </c>
      <c r="E13" s="455"/>
      <c r="F13" s="247">
        <v>0</v>
      </c>
      <c r="G13" s="456">
        <v>0</v>
      </c>
      <c r="H13" s="457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4">
        <f t="shared" si="2"/>
        <v>0</v>
      </c>
      <c r="E14" s="455"/>
      <c r="F14" s="247">
        <v>0</v>
      </c>
      <c r="G14" s="456">
        <v>0</v>
      </c>
      <c r="H14" s="457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4">
        <v>12.49</v>
      </c>
      <c r="E15" s="455"/>
      <c r="F15" s="246">
        <v>8265</v>
      </c>
      <c r="G15" s="458">
        <f>'[1]Витрати 20 -21'!$CX$15/1000</f>
        <v>5.6310000000000002</v>
      </c>
      <c r="H15" s="45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7">
        <v>0</v>
      </c>
      <c r="E16" s="408"/>
      <c r="F16" s="182">
        <v>0</v>
      </c>
      <c r="G16" s="395">
        <v>0</v>
      </c>
      <c r="H16" s="39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7">
        <v>0</v>
      </c>
      <c r="E17" s="408"/>
      <c r="F17" s="182">
        <v>0</v>
      </c>
      <c r="G17" s="395">
        <v>0</v>
      </c>
      <c r="H17" s="39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7">
        <v>0</v>
      </c>
      <c r="E18" s="408"/>
      <c r="F18" s="182">
        <v>0</v>
      </c>
      <c r="G18" s="395">
        <v>0</v>
      </c>
      <c r="H18" s="39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7">
        <v>0</v>
      </c>
      <c r="E19" s="408"/>
      <c r="F19" s="182">
        <v>0</v>
      </c>
      <c r="G19" s="395">
        <v>0</v>
      </c>
      <c r="H19" s="39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7">
        <v>0</v>
      </c>
      <c r="E20" s="408"/>
      <c r="F20" s="182">
        <v>0</v>
      </c>
      <c r="G20" s="395">
        <v>0</v>
      </c>
      <c r="H20" s="39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7">
        <v>0</v>
      </c>
      <c r="E21" s="408"/>
      <c r="F21" s="182">
        <v>0</v>
      </c>
      <c r="G21" s="395">
        <v>0</v>
      </c>
      <c r="H21" s="39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7">
        <v>0</v>
      </c>
      <c r="E22" s="408"/>
      <c r="F22" s="182">
        <v>0</v>
      </c>
      <c r="G22" s="411">
        <v>0</v>
      </c>
      <c r="H22" s="41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7">
        <v>0</v>
      </c>
      <c r="E23" s="408"/>
      <c r="F23" s="182">
        <v>0</v>
      </c>
      <c r="G23" s="395">
        <v>0</v>
      </c>
      <c r="H23" s="39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7">
        <v>0</v>
      </c>
      <c r="E24" s="408"/>
      <c r="F24" s="182">
        <v>0</v>
      </c>
      <c r="G24" s="395">
        <v>0</v>
      </c>
      <c r="H24" s="39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7">
        <v>0</v>
      </c>
      <c r="E25" s="408"/>
      <c r="F25" s="182">
        <v>0</v>
      </c>
      <c r="G25" s="395">
        <v>0</v>
      </c>
      <c r="H25" s="39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7">
        <v>0</v>
      </c>
      <c r="E26" s="408"/>
      <c r="F26" s="182">
        <v>0</v>
      </c>
      <c r="G26" s="395">
        <v>0</v>
      </c>
      <c r="H26" s="39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7">
        <v>0</v>
      </c>
      <c r="E27" s="408"/>
      <c r="F27" s="182">
        <v>0</v>
      </c>
      <c r="G27" s="395">
        <v>0</v>
      </c>
      <c r="H27" s="39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7">
        <v>0</v>
      </c>
      <c r="E28" s="408"/>
      <c r="F28" s="182">
        <v>0</v>
      </c>
      <c r="G28" s="395">
        <v>0</v>
      </c>
      <c r="H28" s="39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7">
        <v>0</v>
      </c>
      <c r="E29" s="408"/>
      <c r="F29" s="182">
        <v>0</v>
      </c>
      <c r="G29" s="395">
        <v>0</v>
      </c>
      <c r="H29" s="39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7">
        <v>0</v>
      </c>
      <c r="E30" s="408"/>
      <c r="F30" s="182">
        <v>0</v>
      </c>
      <c r="G30" s="395">
        <v>0</v>
      </c>
      <c r="H30" s="39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48">
        <f t="shared" ref="D31:J31" si="3">D32+D33+D34+D35</f>
        <v>103.922</v>
      </c>
      <c r="E31" s="449"/>
      <c r="F31" s="181">
        <f>F11</f>
        <v>8265</v>
      </c>
      <c r="G31" s="411">
        <f t="shared" si="3"/>
        <v>76.822999999999993</v>
      </c>
      <c r="H31" s="41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48">
        <f t="shared" ref="D32:K32" si="4">D12+D17+D22+D27</f>
        <v>91.432000000000002</v>
      </c>
      <c r="E32" s="449"/>
      <c r="F32" s="181">
        <f>F12</f>
        <v>8265</v>
      </c>
      <c r="G32" s="411">
        <f t="shared" si="4"/>
        <v>71.191999999999993</v>
      </c>
      <c r="H32" s="41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7">
        <f t="shared" si="5"/>
        <v>0</v>
      </c>
      <c r="E33" s="408"/>
      <c r="F33" s="182">
        <f t="shared" si="5"/>
        <v>0</v>
      </c>
      <c r="G33" s="411">
        <f t="shared" si="5"/>
        <v>0</v>
      </c>
      <c r="H33" s="41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0">
        <f t="shared" si="6"/>
        <v>0</v>
      </c>
      <c r="E34" s="451"/>
      <c r="F34" s="201">
        <f t="shared" si="6"/>
        <v>0</v>
      </c>
      <c r="G34" s="452">
        <f t="shared" si="6"/>
        <v>0</v>
      </c>
      <c r="H34" s="453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1">
        <f t="shared" ref="D35:K35" si="7">D15+D20+D25+D30</f>
        <v>12.49</v>
      </c>
      <c r="E35" s="442"/>
      <c r="F35" s="202">
        <f>F15</f>
        <v>8265</v>
      </c>
      <c r="G35" s="443">
        <f t="shared" si="7"/>
        <v>5.6310000000000002</v>
      </c>
      <c r="H35" s="444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7" t="s">
        <v>484</v>
      </c>
      <c r="B37" s="427"/>
      <c r="C37" s="427"/>
      <c r="D37" s="427"/>
      <c r="E37" s="446" t="s">
        <v>204</v>
      </c>
      <c r="F37" s="446"/>
      <c r="G37" s="446"/>
      <c r="H37" s="446" t="s">
        <v>204</v>
      </c>
      <c r="I37" s="446"/>
      <c r="J37" s="446"/>
      <c r="K37" s="446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7" t="s">
        <v>486</v>
      </c>
      <c r="J38" s="447"/>
      <c r="K38" s="447"/>
    </row>
    <row r="39" spans="1:11" ht="26.25" customHeight="1">
      <c r="A39" s="445" t="s">
        <v>64</v>
      </c>
      <c r="B39" s="445"/>
      <c r="C39" s="445"/>
      <c r="D39" s="445"/>
      <c r="E39" s="445" t="s">
        <v>65</v>
      </c>
      <c r="F39" s="445"/>
      <c r="G39" s="445"/>
      <c r="H39" s="445" t="s">
        <v>501</v>
      </c>
      <c r="I39" s="445"/>
      <c r="J39" s="445"/>
      <c r="K39" s="445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7" t="s">
        <v>486</v>
      </c>
      <c r="L50" s="367"/>
      <c r="M50" s="367"/>
      <c r="N50" s="367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427" t="s">
        <v>485</v>
      </c>
      <c r="C126" s="427"/>
      <c r="D126" s="475"/>
      <c r="E126" s="475"/>
      <c r="F126" s="367" t="s">
        <v>486</v>
      </c>
      <c r="G126" s="367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1" t="s">
        <v>333</v>
      </c>
      <c r="E6" s="501"/>
      <c r="F6" s="28"/>
      <c r="G6" s="28"/>
      <c r="H6" s="28"/>
      <c r="I6" s="28"/>
    </row>
    <row r="7" spans="1:9" ht="18.75">
      <c r="A7" s="31"/>
      <c r="B7" s="501" t="s">
        <v>496</v>
      </c>
      <c r="C7" s="501"/>
      <c r="D7" s="501"/>
      <c r="E7" s="501"/>
      <c r="F7" s="501"/>
      <c r="G7" s="501"/>
      <c r="H7" s="501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79" t="s">
        <v>368</v>
      </c>
      <c r="D9" s="479"/>
      <c r="E9" s="479"/>
      <c r="F9" s="479"/>
      <c r="G9" s="479"/>
      <c r="H9" s="479"/>
      <c r="I9" s="18"/>
    </row>
    <row r="10" spans="1:9" ht="19.5" thickBot="1">
      <c r="A10" s="126"/>
      <c r="B10" s="18"/>
      <c r="C10" s="500" t="s">
        <v>509</v>
      </c>
      <c r="D10" s="500"/>
      <c r="E10" s="500"/>
      <c r="F10" s="500"/>
      <c r="G10" s="500"/>
      <c r="H10" s="128"/>
      <c r="I10" s="18"/>
    </row>
    <row r="11" spans="1:9" ht="40.5" customHeight="1">
      <c r="A11" s="486" t="s">
        <v>69</v>
      </c>
      <c r="B11" s="489" t="s">
        <v>335</v>
      </c>
      <c r="C11" s="490"/>
      <c r="D11" s="489" t="s">
        <v>336</v>
      </c>
      <c r="E11" s="490"/>
      <c r="F11" s="489" t="s">
        <v>337</v>
      </c>
      <c r="G11" s="490"/>
      <c r="H11" s="489" t="s">
        <v>337</v>
      </c>
      <c r="I11" s="490"/>
    </row>
    <row r="12" spans="1:9" ht="42.75" customHeight="1" thickBot="1">
      <c r="A12" s="487"/>
      <c r="B12" s="491"/>
      <c r="C12" s="492"/>
      <c r="D12" s="493"/>
      <c r="E12" s="494"/>
      <c r="F12" s="493" t="s">
        <v>338</v>
      </c>
      <c r="G12" s="494"/>
      <c r="H12" s="493" t="s">
        <v>339</v>
      </c>
      <c r="I12" s="494"/>
    </row>
    <row r="13" spans="1:9" ht="22.5" customHeight="1" thickBot="1">
      <c r="A13" s="488"/>
      <c r="B13" s="493"/>
      <c r="C13" s="494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8">
        <v>2</v>
      </c>
      <c r="C14" s="49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0" t="s">
        <v>340</v>
      </c>
      <c r="C15" s="481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0" t="s">
        <v>341</v>
      </c>
      <c r="C16" s="481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0" t="s">
        <v>342</v>
      </c>
      <c r="C17" s="481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0" t="s">
        <v>35</v>
      </c>
      <c r="C18" s="481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0" t="s">
        <v>343</v>
      </c>
      <c r="C19" s="481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0" t="s">
        <v>344</v>
      </c>
      <c r="C20" s="481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0" t="s">
        <v>345</v>
      </c>
      <c r="C21" s="481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0" t="s">
        <v>346</v>
      </c>
      <c r="C22" s="481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0" t="s">
        <v>347</v>
      </c>
      <c r="C23" s="481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0" t="s">
        <v>77</v>
      </c>
      <c r="C24" s="481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0" t="s">
        <v>348</v>
      </c>
      <c r="C25" s="481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0" t="s">
        <v>45</v>
      </c>
      <c r="C26" s="481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0" t="s">
        <v>349</v>
      </c>
      <c r="C27" s="481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0" t="s">
        <v>350</v>
      </c>
      <c r="C28" s="481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0" t="s">
        <v>351</v>
      </c>
      <c r="C29" s="481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0" t="s">
        <v>352</v>
      </c>
      <c r="C30" s="481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0" t="s">
        <v>353</v>
      </c>
      <c r="C31" s="481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0" t="s">
        <v>354</v>
      </c>
      <c r="C32" s="481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0" t="s">
        <v>355</v>
      </c>
      <c r="C33" s="481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0" t="s">
        <v>356</v>
      </c>
      <c r="C34" s="481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0" t="s">
        <v>370</v>
      </c>
      <c r="C35" s="481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0" t="s">
        <v>357</v>
      </c>
      <c r="C36" s="481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0" t="s">
        <v>358</v>
      </c>
      <c r="C37" s="481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0" t="s">
        <v>359</v>
      </c>
      <c r="C38" s="481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0" t="s">
        <v>360</v>
      </c>
      <c r="C39" s="481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0" t="s">
        <v>361</v>
      </c>
      <c r="C40" s="481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0" t="s">
        <v>359</v>
      </c>
      <c r="C41" s="481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0" t="s">
        <v>360</v>
      </c>
      <c r="C42" s="481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0" t="s">
        <v>362</v>
      </c>
      <c r="C43" s="481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0" t="s">
        <v>371</v>
      </c>
      <c r="C44" s="481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0" t="s">
        <v>372</v>
      </c>
      <c r="C45" s="481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0" t="s">
        <v>363</v>
      </c>
      <c r="C46" s="481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0" t="s">
        <v>373</v>
      </c>
      <c r="C47" s="481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4" t="s">
        <v>364</v>
      </c>
      <c r="B48" s="484"/>
      <c r="C48" s="483"/>
      <c r="D48" s="483"/>
      <c r="E48" s="483"/>
      <c r="F48" s="477"/>
      <c r="G48" s="477"/>
      <c r="H48" s="477"/>
      <c r="I48" s="477"/>
    </row>
    <row r="49" spans="1:9" ht="32.25" customHeight="1">
      <c r="A49" s="485" t="s">
        <v>365</v>
      </c>
      <c r="B49" s="485"/>
      <c r="C49" s="485" t="s">
        <v>366</v>
      </c>
      <c r="D49" s="485"/>
      <c r="E49" s="485"/>
      <c r="F49" s="478"/>
      <c r="G49" s="478"/>
      <c r="H49" s="478"/>
      <c r="I49" s="478"/>
    </row>
    <row r="50" spans="1:9" ht="44.25" customHeight="1">
      <c r="A50" s="482"/>
      <c r="B50" s="482"/>
      <c r="C50" s="485" t="s">
        <v>367</v>
      </c>
      <c r="D50" s="485"/>
      <c r="E50" s="485"/>
      <c r="F50" s="478"/>
      <c r="G50" s="478"/>
      <c r="H50" s="478"/>
      <c r="I50" s="478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427" t="s">
        <v>485</v>
      </c>
      <c r="C52" s="427"/>
      <c r="D52" s="28"/>
      <c r="E52" s="28"/>
      <c r="F52" s="497" t="s">
        <v>493</v>
      </c>
      <c r="G52" s="497"/>
      <c r="H52" s="497"/>
      <c r="I52" s="497"/>
    </row>
    <row r="53" spans="1:9" ht="15.75" customHeight="1">
      <c r="A53" s="1"/>
      <c r="B53" s="495" t="s">
        <v>64</v>
      </c>
      <c r="C53" s="495"/>
      <c r="D53" s="496" t="s">
        <v>495</v>
      </c>
      <c r="E53" s="496"/>
      <c r="F53" s="495" t="s">
        <v>494</v>
      </c>
      <c r="G53" s="495"/>
      <c r="H53" s="495"/>
      <c r="I53" s="495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4" t="s">
        <v>542</v>
      </c>
      <c r="C11" s="514"/>
      <c r="D11" s="514"/>
      <c r="E11" s="514"/>
      <c r="F11" s="514"/>
      <c r="G11" s="514"/>
      <c r="H11" s="514"/>
      <c r="I11" s="514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3" t="s">
        <v>537</v>
      </c>
      <c r="E14" s="513"/>
      <c r="F14" s="513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1" t="s">
        <v>403</v>
      </c>
      <c r="D15" s="502" t="s">
        <v>378</v>
      </c>
      <c r="E15" s="502" t="s">
        <v>379</v>
      </c>
      <c r="F15" s="502" t="s">
        <v>380</v>
      </c>
      <c r="G15" s="502" t="s">
        <v>381</v>
      </c>
      <c r="H15" s="162" t="s">
        <v>382</v>
      </c>
      <c r="I15" s="502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2"/>
      <c r="D16" s="503"/>
      <c r="E16" s="503"/>
      <c r="F16" s="503"/>
      <c r="G16" s="503"/>
      <c r="H16" s="164" t="s">
        <v>383</v>
      </c>
      <c r="I16" s="505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3"/>
      <c r="E17" s="503"/>
      <c r="F17" s="503"/>
      <c r="G17" s="503"/>
      <c r="H17" s="164"/>
      <c r="I17" s="505"/>
      <c r="J17" s="164"/>
      <c r="K17" s="164"/>
      <c r="L17" s="107"/>
    </row>
    <row r="18" spans="1:12" ht="24.75" customHeight="1" thickBot="1">
      <c r="A18" s="167"/>
      <c r="B18" s="168"/>
      <c r="C18" s="169"/>
      <c r="D18" s="504"/>
      <c r="E18" s="504"/>
      <c r="F18" s="504"/>
      <c r="G18" s="504"/>
      <c r="H18" s="170"/>
      <c r="I18" s="506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8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9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9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9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9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9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9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9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9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9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9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9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9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9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9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9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9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9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0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7" t="s">
        <v>486</v>
      </c>
      <c r="J44" s="507"/>
      <c r="K44" s="507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2021-08-26T14:16:04Z</cp:lastPrinted>
  <dcterms:created xsi:type="dcterms:W3CDTF">2020-02-19T15:30:08Z</dcterms:created>
  <dcterms:modified xsi:type="dcterms:W3CDTF">2021-08-26T14:16:24Z</dcterms:modified>
</cp:coreProperties>
</file>