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AA41" i="1" s="1"/>
  <c r="I25" i="2"/>
  <c r="AA38" i="1" s="1"/>
  <c r="H40" i="2"/>
  <c r="H39" i="2"/>
  <c r="K54" i="1" s="1"/>
  <c r="H31" i="2"/>
  <c r="H29" i="2"/>
  <c r="H27" i="2"/>
  <c r="K41" i="1" s="1"/>
  <c r="K38" i="1"/>
  <c r="AA62" i="1"/>
  <c r="AA36" i="1"/>
  <c r="AA33" i="1"/>
  <c r="AA31" i="1"/>
  <c r="AA30" i="1"/>
  <c r="AA25" i="1"/>
  <c r="AA23" i="1"/>
  <c r="AA22" i="1"/>
  <c r="AA20" i="1"/>
  <c r="AA19" i="1"/>
  <c r="K62" i="1"/>
  <c r="K55" i="1"/>
  <c r="K36" i="1"/>
  <c r="K33" i="1"/>
  <c r="K31" i="1"/>
  <c r="K30" i="1"/>
  <c r="K25" i="1"/>
  <c r="K23" i="1"/>
  <c r="K22" i="1"/>
  <c r="K20" i="1"/>
  <c r="K19" i="1"/>
  <c r="K39" i="1" l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<sst xmlns="http://schemas.openxmlformats.org/spreadsheetml/2006/main" count="415" uniqueCount="156">
  <si>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</si>
  <si>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</si>
  <si>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</si>
  <si>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</si>
  <si>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</si>
  <si>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</si>
  <si>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</si>
  <si>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</si>
  <si>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</si>
  <si>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</si>
  <si>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</si>
  <si>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</si>
  <si>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</si>
  <si>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</si>
  <si>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</si>
  <si>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</si>
  <si>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</si>
  <si>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</si>
  <si>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</si>
  <si>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</si>
  <si>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</si>
  <si>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</si>
  <si>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</si>
  <si>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</si>
  <si>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</si>
  <si>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</si>
  <si>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</si>
  <si>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</si>
  <si>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</si>
  <si>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</si>
  <si>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</si>
  <si>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</si>
  <si>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</si>
  <si>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</si>
  <si>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</si>
  <si>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</si>
  <si>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</si>
  <si>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</si>
  <si>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</si>
  <si>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</si>
  <si>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</si>
  <si>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</si>
  <si>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</si>
  <si>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</si>
  <si>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</si>
  <si>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</si>
  <si>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</si>
  <si>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</si>
  <si>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</si>
  <si>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</si>
  <si>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</si>
  <si>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</si>
  <si>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</si>
  <si>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</si>
  <si>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</si>
  <si>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</si>
  <si>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</si>
  <si>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</si>
  <si>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</si>
  <si>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</si>
  <si>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</si>
  <si>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</si>
  <si>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</si>
  <si>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</si>
  <si>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</si>
  <si>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</si>
  <si>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</si>
  <si>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</si>
  <si>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</si>
  <si>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</si>
  <si>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</si>
  <si>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</si>
  <si>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</si>
  <si>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</si>
  <si>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</si>
  <si>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</si>
  <si>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</si>
  <si>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</si>
  <si>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</si>
  <si>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</si>
  <si>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</si>
  <si>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</si>
  <si>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</si>
  <si>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</si>
  <si>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</si>
  <si>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</si>
  <si>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</si>
  <si>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</si>
  <si>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</si>
  <si>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</si>
  <si>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</si>
  <si>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</si>
  <si>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</si>
  <si>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</si>
  <si>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</si>
  <si>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</si>
  <si>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</si>
  <si>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</si>
  <si>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</si>
  <si>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</si>
  <si>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</si>
  <si>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</si>
  <si>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</si>
  <si>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</si>
  <si>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</si>
  <si>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</si>
  <si>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</si>
  <si>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</si>
  <si>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</si>
  <si>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</si>
  <si>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</si>
  <si>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</si>
  <si>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</si>
  <si>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</si>
  <si>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</si>
  <si>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</si>
  <si>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</si>
  <si>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</si>
  <si>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</si>
  <si>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</si>
  <si>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</si>
  <si>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</si>
  <si>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</si>
  <si>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</si>
  <si>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</si>
  <si>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</si>
  <si>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</si>
  <si>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</si>
  <si>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</si>
  <si>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</si>
  <si>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</si>
  <si>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</si>
  <si>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</si>
  <si>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</si>
  <si>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</si>
  <si>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</si>
  <si>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</si>
  <si>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</si>
  <si>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</si>
  <si>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</si>
  <si>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</si>
  <si>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</si>
  <si>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Першотравнева 24</t>
  </si>
  <si>
    <t xml:space="preserve">          за адресою: м.Вишневе  вул. Першотравнева 24</t>
  </si>
  <si>
    <t xml:space="preserve">   за адресою: м.Вишневе  вул. Першотравнева 24</t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</si>
  <si>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</si>
  <si>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 xml:space="preserve">Керуюча справами </t>
  </si>
  <si>
    <t>О.ВДОВЕНКО</t>
  </si>
  <si>
    <t xml:space="preserve">                О.ВДОВЕНКО</t>
  </si>
  <si>
    <t xml:space="preserve">                                                               Додаток 3</t>
  </si>
  <si>
    <t xml:space="preserve">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</si>
  <si>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року</t>
    </r>
    <r>
      <rPr>
        <b/>
        <u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Times New Roman"/>
        <family val="1"/>
        <charset val="204"/>
      </rPr>
      <t>№ ________</t>
    </r>
  </si>
  <si>
    <t>до рішення Виконавчого комітету Вишневої міської ради</t>
  </si>
  <si>
    <t>Додаток 4</t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</si>
  <si>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 __________</t>
    </r>
  </si>
  <si>
    <t xml:space="preserve">        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</si>
</sst>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vertical="top" wrapText="1"/>
    </xf>
    <xf numFmtId="2" fontId="31" fillId="3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22">
          <cell r="C22">
            <v>288.529</v>
          </cell>
          <cell r="D22">
            <v>13.231999999999999</v>
          </cell>
          <cell r="S22">
            <v>0.91</v>
          </cell>
          <cell r="T22">
            <v>0.04</v>
          </cell>
          <cell r="V22">
            <v>54.3</v>
          </cell>
          <cell r="W22">
            <v>2.4900000000000002</v>
          </cell>
          <cell r="AE22">
            <v>1.86</v>
          </cell>
          <cell r="AF22">
            <v>0.09</v>
          </cell>
          <cell r="AH22">
            <v>10.61</v>
          </cell>
          <cell r="AI22">
            <v>0.49</v>
          </cell>
          <cell r="AN22">
            <v>7.13</v>
          </cell>
          <cell r="AO22">
            <v>0.33</v>
          </cell>
          <cell r="AT22">
            <v>25.94</v>
          </cell>
          <cell r="AU22">
            <v>1.19</v>
          </cell>
          <cell r="BC22">
            <v>21.31</v>
          </cell>
          <cell r="BD22">
            <v>0.97</v>
          </cell>
          <cell r="BI22">
            <v>5.3</v>
          </cell>
          <cell r="BJ22">
            <v>0.24</v>
          </cell>
          <cell r="BO22">
            <v>11.54</v>
          </cell>
          <cell r="BP22">
            <v>0.53</v>
          </cell>
          <cell r="BU22">
            <v>0.96</v>
          </cell>
          <cell r="BV22">
            <v>0.04</v>
          </cell>
          <cell r="CG22">
            <v>50.89</v>
          </cell>
          <cell r="CH22">
            <v>2.33</v>
          </cell>
          <cell r="CJ22">
            <v>12.73</v>
          </cell>
          <cell r="CK22">
            <v>0.57999999999999996</v>
          </cell>
          <cell r="DB22">
            <v>302650.38</v>
          </cell>
          <cell r="DC22">
            <v>13875.79</v>
          </cell>
          <cell r="DK22">
            <v>22719.25</v>
          </cell>
          <cell r="DL22">
            <v>1042.48</v>
          </cell>
          <cell r="DR22">
            <v>707.04</v>
          </cell>
          <cell r="DS22">
            <v>68.680000000000007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P67" activePane="bottomRight" state="frozen"/>
      <selection pane="topRight" activeCell="I1" sqref="I1"/>
      <selection pane="bottomLeft" activeCell="A13" sqref="A13"/>
      <selection pane="bottomRight" activeCell="A76" sqref="A76:C76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41" t="s">
        <v>0</v>
      </c>
      <c r="V4" s="242"/>
      <c r="W4" s="242"/>
      <c r="X4" s="242"/>
      <c r="Y4" s="242"/>
      <c r="Z4" s="242"/>
      <c r="AA4" s="242"/>
    </row>
    <row r="5" spans="1:27" ht="23.25">
      <c r="A5" s="1"/>
      <c r="U5" s="241" t="s">
        <v>137</v>
      </c>
      <c r="V5" s="242"/>
      <c r="W5" s="242"/>
      <c r="X5" s="242"/>
      <c r="Y5" s="242"/>
      <c r="Z5" s="242"/>
      <c r="AA5" s="242"/>
    </row>
    <row r="6" spans="1:27" ht="23.25">
      <c r="A6" s="1"/>
      <c r="U6" s="241" t="s">
        <v>145</v>
      </c>
      <c r="V6" s="242"/>
      <c r="W6" s="242"/>
      <c r="X6" s="242"/>
      <c r="Y6" s="242"/>
      <c r="Z6" s="242"/>
      <c r="AA6" s="242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67</v>
      </c>
      <c r="H8" s="180" t="s">
        <v>138</v>
      </c>
      <c r="I8" s="181"/>
      <c r="J8" s="181"/>
      <c r="K8" s="181"/>
      <c r="L8" s="181"/>
      <c r="M8" s="181"/>
      <c r="N8" s="181"/>
    </row>
    <row r="9" spans="1:27" ht="29.25" customHeight="1" thickBot="1">
      <c r="H9" s="178" t="s">
        <v>144</v>
      </c>
      <c r="I9" s="178"/>
      <c r="J9" s="178"/>
      <c r="K9" s="178"/>
      <c r="L9" s="178"/>
      <c r="M9" s="179"/>
      <c r="N9" s="179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460.59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440.35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20.239999999999998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20.239999999999998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342.01999999999992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326.99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15.03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15.03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316.52999999999997</v>
      </c>
      <c r="H19" s="51">
        <v>0</v>
      </c>
      <c r="I19" s="51">
        <v>0</v>
      </c>
      <c r="J19" s="51">
        <v>0</v>
      </c>
      <c r="K19" s="68">
        <f>ROUND('[1]Витрати 20 -21'!$DB$22/1000,2)</f>
        <v>302.64999999999998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13.88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20 -21'!$DC$22/1000,2)</f>
        <v>13.88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23.759999999999998</v>
      </c>
      <c r="H20" s="51">
        <v>0</v>
      </c>
      <c r="I20" s="51">
        <v>0</v>
      </c>
      <c r="J20" s="51">
        <v>0</v>
      </c>
      <c r="K20" s="68">
        <f>ROUND('[1]Витрати 20 -21'!$DK$22/1000,2)</f>
        <v>22.72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1.04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20 -21'!$DL$22/1000,2)</f>
        <v>1.04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37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0.78</v>
      </c>
      <c r="H22" s="51">
        <v>0</v>
      </c>
      <c r="I22" s="51">
        <v>0</v>
      </c>
      <c r="J22" s="51">
        <v>0</v>
      </c>
      <c r="K22" s="68">
        <f>ROUND('[1]Витрати 20 -21'!$DR$22/1000,2)</f>
        <v>0.71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7.0000000000000007E-2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20 -21'!$DS$22/1000,2)</f>
        <v>7.0000000000000007E-2</v>
      </c>
    </row>
    <row r="23" spans="1:28" ht="24.75" customHeight="1" thickBot="1">
      <c r="A23" s="150" t="s">
        <v>118</v>
      </c>
      <c r="B23" s="46" t="s">
        <v>125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0.95000000000000007</v>
      </c>
      <c r="H23" s="51"/>
      <c r="I23" s="51"/>
      <c r="J23" s="51"/>
      <c r="K23" s="141">
        <f>ROUND('[1]Витрати 20 -21'!$S$22,2)</f>
        <v>0.91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0.04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20 -21'!$T$22,2)</f>
        <v>0.04</v>
      </c>
    </row>
    <row r="24" spans="1:28" ht="30.75" customHeight="1" thickBot="1">
      <c r="A24" s="151"/>
      <c r="B24" s="46" t="s">
        <v>126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56.79</v>
      </c>
      <c r="H25" s="51"/>
      <c r="I25" s="51"/>
      <c r="J25" s="51"/>
      <c r="K25" s="141">
        <f>ROUND('[1]Витрати 20 -21'!$V$22,2)</f>
        <v>54.3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2.4900000000000002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20 -21'!$W$22,2)</f>
        <v>2.4900000000000002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25.55</v>
      </c>
      <c r="H27" s="51">
        <v>0</v>
      </c>
      <c r="I27" s="51">
        <v>0</v>
      </c>
      <c r="J27" s="51">
        <v>0</v>
      </c>
      <c r="K27" s="51">
        <f>ROUND(K28+K29+K30+K31,2)</f>
        <v>24.42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1.1299999999999999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1.1299999999999999</v>
      </c>
    </row>
    <row r="28" spans="1:28" ht="20.25" customHeight="1" thickBot="1">
      <c r="A28" s="163" t="s">
        <v>119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12.5</v>
      </c>
      <c r="H28" s="51"/>
      <c r="I28" s="51"/>
      <c r="J28" s="51"/>
      <c r="K28" s="124">
        <f>ROUND(K25*22%,2)</f>
        <v>11.95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0.55000000000000004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0.55000000000000004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1.9500000000000002</v>
      </c>
      <c r="H30" s="51">
        <v>0</v>
      </c>
      <c r="I30" s="51">
        <v>0</v>
      </c>
      <c r="J30" s="51">
        <v>0</v>
      </c>
      <c r="K30" s="68">
        <f>ROUND('[1]Витрати 20 -21'!$AE$22,2)</f>
        <v>1.86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0.09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20 -21'!$AF$22,2)</f>
        <v>0.09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11.1</v>
      </c>
      <c r="H31" s="51">
        <v>0</v>
      </c>
      <c r="I31" s="51">
        <v>0</v>
      </c>
      <c r="J31" s="51">
        <v>0</v>
      </c>
      <c r="K31" s="68">
        <f>ROUND('[1]Витрати 20 -21'!$AH$22,2)</f>
        <v>10.61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0.49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20 -21'!$AI$22,2)</f>
        <v>0.49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36.230000000000004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34.64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1.5899999999999999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1.59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7.46</v>
      </c>
      <c r="H33" s="51">
        <v>0</v>
      </c>
      <c r="I33" s="51">
        <v>0</v>
      </c>
      <c r="J33" s="51">
        <v>0</v>
      </c>
      <c r="K33" s="68">
        <f>ROUND('[1]Витрати 20 -21'!$AN$22,2)</f>
        <v>7.13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0.33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20 -21'!$AO$22,2)</f>
        <v>0.33</v>
      </c>
    </row>
    <row r="34" spans="1:27" ht="20.25">
      <c r="A34" s="161" t="s">
        <v>123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1.6400000000000001</v>
      </c>
      <c r="H34" s="124">
        <v>0</v>
      </c>
      <c r="I34" s="124">
        <v>0</v>
      </c>
      <c r="J34" s="124">
        <v>0</v>
      </c>
      <c r="K34" s="167">
        <f>ROUND(K33*22%,2)</f>
        <v>1.57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7.0000000000000007E-2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7.0000000000000007E-2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27.130000000000003</v>
      </c>
      <c r="H36" s="51">
        <v>0</v>
      </c>
      <c r="I36" s="51">
        <v>0</v>
      </c>
      <c r="J36" s="51">
        <v>0</v>
      </c>
      <c r="K36" s="68">
        <f>ROUND('[1]Витрати 20 -21'!$AT$22,2)</f>
        <v>25.94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1.19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20 -21'!$AU$22,2)</f>
        <v>1.19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31.669999999999998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30.29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1.38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1.38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21.560000000000002</v>
      </c>
      <c r="H38" s="51">
        <v>0</v>
      </c>
      <c r="I38" s="51">
        <v>0</v>
      </c>
      <c r="J38" s="51">
        <v>0</v>
      </c>
      <c r="K38" s="68">
        <f>ROUND('[1]Витрати 20 -21'!$BC$22-'Додаток 3'!H25,2)</f>
        <v>20.62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0.94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20 -21'!$BD$22-'Додаток 3'!I25,2)</f>
        <v>0.94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4.75</v>
      </c>
      <c r="H39" s="124">
        <v>0</v>
      </c>
      <c r="I39" s="124">
        <v>0</v>
      </c>
      <c r="J39" s="124">
        <v>0</v>
      </c>
      <c r="K39" s="167">
        <f>ROUND(K38*22%,2)</f>
        <v>4.54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0.21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0.21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5.36</v>
      </c>
      <c r="H41" s="51">
        <v>0</v>
      </c>
      <c r="I41" s="51">
        <v>0</v>
      </c>
      <c r="J41" s="51">
        <v>0</v>
      </c>
      <c r="K41" s="68">
        <f>ROUND('[1]Витрати 20 -21'!$BI$22-'Додаток 3'!H27,2)</f>
        <v>5.13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0.23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20 -21'!$BJ$22-'Додаток 3'!I27,2)</f>
        <v>0.23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37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67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67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68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68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37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492.26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470.64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21.619999999999997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21.62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90.490000000000009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86.54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3.95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3.95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16.29</v>
      </c>
      <c r="H52" s="75" t="s">
        <v>46</v>
      </c>
      <c r="I52" s="75" t="s">
        <v>46</v>
      </c>
      <c r="J52" s="51">
        <v>0</v>
      </c>
      <c r="K52" s="37">
        <f>ROUND(18%*(K53+K54+K55+K57)/82%,2)</f>
        <v>15.58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0.71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0.71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12.88</v>
      </c>
      <c r="H54" s="75" t="s">
        <v>46</v>
      </c>
      <c r="I54" s="75" t="s">
        <v>46</v>
      </c>
      <c r="J54" s="51">
        <v>0</v>
      </c>
      <c r="K54" s="68">
        <f>ROUND('[1]Витрати 20 -21'!$CJ$22-'Додаток 3'!H39,2)</f>
        <v>12.32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0.56000000000000005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20 -21'!$CK$22-'Додаток 3'!I39,2)</f>
        <v>0.56000000000000005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51.48</v>
      </c>
      <c r="H55" s="144" t="s">
        <v>46</v>
      </c>
      <c r="I55" s="144" t="s">
        <v>46</v>
      </c>
      <c r="J55" s="124">
        <v>0</v>
      </c>
      <c r="K55" s="141">
        <f>ROUND('[1]Витрати 20 -21'!$CG$22-'Додаток 3'!H40,2)</f>
        <v>49.23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127</v>
      </c>
      <c r="Q55" s="144" t="s">
        <v>46</v>
      </c>
      <c r="R55" s="122">
        <f t="shared" si="9"/>
        <v>0</v>
      </c>
      <c r="S55" s="122">
        <f t="shared" si="10"/>
        <v>2.25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73">
        <f>ROUND('[1]Витрати 20 -21'!$CH$22-'Додаток 3'!I40,2)</f>
        <v>2.25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74"/>
    </row>
    <row r="57" spans="1:28" ht="29.25" customHeight="1" thickBot="1">
      <c r="A57" s="15">
        <v>8.5</v>
      </c>
      <c r="B57" s="39" t="s">
        <v>133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9.84</v>
      </c>
      <c r="H57" s="75" t="s">
        <v>46</v>
      </c>
      <c r="I57" s="75" t="s">
        <v>46</v>
      </c>
      <c r="J57" s="51">
        <v>0</v>
      </c>
      <c r="K57" s="37">
        <f>ROUND(K49*2%,2)</f>
        <v>9.41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0.43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0.43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582.75</v>
      </c>
      <c r="H58" s="51">
        <v>0</v>
      </c>
      <c r="I58" s="51">
        <v>0</v>
      </c>
      <c r="J58" s="51">
        <v>0</v>
      </c>
      <c r="K58" s="51">
        <f>ROUND(K49+K51,2)</f>
        <v>557.17999999999995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25.57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25.57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1931.164066927138</v>
      </c>
      <c r="H59" s="51">
        <v>0</v>
      </c>
      <c r="I59" s="51">
        <v>0</v>
      </c>
      <c r="J59" s="51">
        <v>0</v>
      </c>
      <c r="K59" s="51">
        <f>ROUND(K58/K62*1000,2)</f>
        <v>1931.11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1932.44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1932.44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1048.9427063139372</v>
      </c>
      <c r="H60" s="51">
        <v>0</v>
      </c>
      <c r="I60" s="51">
        <v>0</v>
      </c>
      <c r="J60" s="51">
        <v>0</v>
      </c>
      <c r="K60" s="51">
        <f>ROUND(K19/K62*1000,2)</f>
        <v>1048.94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1048.97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1048.97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882.22136061320089</v>
      </c>
      <c r="H61" s="51">
        <v>0</v>
      </c>
      <c r="I61" s="51">
        <v>0</v>
      </c>
      <c r="J61" s="51">
        <v>0</v>
      </c>
      <c r="K61" s="51">
        <f>ROUND(K59-K60,2)</f>
        <v>882.17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883.47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883.47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301.76099999999997</v>
      </c>
      <c r="H62" s="51">
        <v>0</v>
      </c>
      <c r="I62" s="51">
        <v>0</v>
      </c>
      <c r="J62" s="51">
        <v>0</v>
      </c>
      <c r="K62" s="83">
        <f>ROUND('[1]Витрати 20 -21'!$C$22,3)</f>
        <v>288.529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13.231999999999999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20 -21'!$D$22,3)</f>
        <v>13.231999999999999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301.76099999999997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288.529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13.231999999999999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13.231999999999999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1631.2909885637973</v>
      </c>
      <c r="H68" s="51">
        <v>0</v>
      </c>
      <c r="I68" s="51">
        <v>0</v>
      </c>
      <c r="J68" s="51">
        <v>0</v>
      </c>
      <c r="K68" s="51">
        <f>ROUND(K49/K67*1000,2)</f>
        <v>1631.17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1633.92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1633.92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7"/>
      <c r="C74" s="177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6"/>
      <c r="W74" s="176"/>
      <c r="X74" s="176"/>
      <c r="Y74" s="176"/>
      <c r="Z74" s="176"/>
      <c r="AA74" s="21"/>
      <c r="AB74" s="21"/>
    </row>
    <row r="75" spans="1:28" s="59" customFormat="1" ht="18.75" customHeight="1">
      <c r="A75" s="243"/>
      <c r="B75" s="244" t="s">
        <v>146</v>
      </c>
      <c r="C75" s="245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 t="s">
        <v>148</v>
      </c>
      <c r="X75" s="246"/>
      <c r="Y75" s="246"/>
      <c r="Z75" s="246"/>
      <c r="AA75" s="246"/>
      <c r="AB75" s="246"/>
    </row>
    <row r="76" spans="1:28" ht="25.5" customHeight="1">
      <c r="A76" s="175"/>
      <c r="B76" s="175"/>
      <c r="C76" s="175"/>
      <c r="D76" s="17"/>
      <c r="E76" s="17"/>
      <c r="F76" s="17"/>
      <c r="G76" s="17"/>
      <c r="H76" s="17"/>
      <c r="I76" s="175" t="s">
        <v>64</v>
      </c>
      <c r="J76" s="175"/>
      <c r="K76" s="175"/>
      <c r="L76" s="175"/>
      <c r="M76" s="175"/>
      <c r="N76" s="17"/>
      <c r="O76" s="17"/>
      <c r="P76" s="17"/>
      <c r="Q76" s="17"/>
      <c r="R76" s="17"/>
      <c r="S76" s="17"/>
      <c r="T76" s="17"/>
      <c r="U76" s="17"/>
      <c r="V76" s="175" t="s">
        <v>65</v>
      </c>
      <c r="W76" s="175"/>
      <c r="X76" s="175"/>
      <c r="Y76" s="175"/>
      <c r="Z76" s="175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25" zoomScale="60" workbookViewId="0">
      <selection activeCell="A53" sqref="A53:B5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7" t="s">
        <v>149</v>
      </c>
      <c r="B3" s="247"/>
      <c r="C3" s="247"/>
      <c r="D3" s="247"/>
      <c r="E3" s="247"/>
      <c r="F3" s="247"/>
      <c r="G3" s="247"/>
    </row>
    <row r="4" spans="1:9" ht="21" customHeight="1">
      <c r="A4" s="247" t="s">
        <v>150</v>
      </c>
      <c r="B4" s="247"/>
      <c r="C4" s="247"/>
      <c r="D4" s="247"/>
      <c r="E4" s="247"/>
      <c r="F4" s="247"/>
      <c r="G4" s="247"/>
    </row>
    <row r="5" spans="1:9" ht="21" customHeight="1">
      <c r="A5" s="247" t="s">
        <v>151</v>
      </c>
      <c r="B5" s="247"/>
      <c r="C5" s="247"/>
      <c r="D5" s="247"/>
      <c r="E5" s="247"/>
      <c r="F5" s="247"/>
      <c r="G5" s="247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2"/>
      <c r="B7" s="182"/>
      <c r="C7" s="182"/>
      <c r="D7" s="182"/>
      <c r="E7" s="182"/>
      <c r="F7" s="182"/>
      <c r="G7" s="182"/>
    </row>
    <row r="8" spans="1:9" ht="18.75" customHeight="1">
      <c r="A8" s="182" t="s">
        <v>139</v>
      </c>
      <c r="B8" s="182"/>
      <c r="C8" s="182"/>
      <c r="D8" s="182"/>
      <c r="E8" s="182"/>
      <c r="F8" s="182"/>
      <c r="G8" s="182"/>
    </row>
    <row r="9" spans="1:9" ht="24" thickBot="1">
      <c r="A9" s="59"/>
      <c r="B9" s="183" t="s">
        <v>143</v>
      </c>
      <c r="C9" s="183"/>
      <c r="D9" s="184"/>
      <c r="E9" s="184"/>
      <c r="F9" s="184"/>
      <c r="G9" s="60" t="s">
        <v>86</v>
      </c>
    </row>
    <row r="10" spans="1:9" ht="24" thickBot="1">
      <c r="A10" s="61"/>
      <c r="B10" s="62"/>
      <c r="C10" s="107"/>
      <c r="D10" s="185" t="s">
        <v>69</v>
      </c>
      <c r="E10" s="186"/>
      <c r="F10" s="186"/>
      <c r="G10" s="186"/>
      <c r="H10" s="187"/>
      <c r="I10" s="188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134</v>
      </c>
      <c r="H11" s="118" t="s">
        <v>135</v>
      </c>
      <c r="I11" s="119" t="s">
        <v>136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1.06</v>
      </c>
      <c r="H24" s="88">
        <f>ROUND(H25+H26+H27,2)</f>
        <v>1.01</v>
      </c>
      <c r="I24" s="88">
        <f>ROUND(I25+I26+I27,2)</f>
        <v>0.05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0.72</v>
      </c>
      <c r="H25" s="89">
        <f>ROUND('[1]Витрати 20 -21'!$BC$22*'[1]Витрати 20 -21'!$BL$28%,2)</f>
        <v>0.69</v>
      </c>
      <c r="I25" s="89">
        <f>ROUND('[1]Витрати 20 -21'!$BD$22*'[1]Витрати 20 -21'!$BM$28%,2)</f>
        <v>0.03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0.16</v>
      </c>
      <c r="H26" s="88">
        <f>ROUND(H25*22%,2)</f>
        <v>0.15</v>
      </c>
      <c r="I26" s="88">
        <f>ROUND(I25*22%,2)</f>
        <v>0.01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0.18000000000000002</v>
      </c>
      <c r="H27" s="89">
        <f>ROUND('[1]Витрати 20 -21'!$BI$22*'[1]Витрати 20 -21'!$BL$28%,2)</f>
        <v>0.17</v>
      </c>
      <c r="I27" s="93">
        <f>ROUND('[1]Витрати 20 -21'!$BJ$22*'[1]Витрати 20 -21'!$BM$28%,2)</f>
        <v>0.01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15.729999999999999</v>
      </c>
      <c r="H28" s="88">
        <f>ROUND(H29+H30+H31,2)</f>
        <v>15.04</v>
      </c>
      <c r="I28" s="88">
        <f>ROUND(I29+I30+I31,2)</f>
        <v>0.69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12.069999999999999</v>
      </c>
      <c r="H29" s="89">
        <f>ROUND('[1]Витрати 20 -21'!$BO$22,2)</f>
        <v>11.54</v>
      </c>
      <c r="I29" s="89">
        <f>ROUND('[1]Витрати 20 -21'!$BP$22,2)</f>
        <v>0.53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2.66</v>
      </c>
      <c r="H30" s="88">
        <f>ROUND(H29*22%,2)</f>
        <v>2.54</v>
      </c>
      <c r="I30" s="88">
        <f>ROUND(I29*22%,2)</f>
        <v>0.12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</v>
      </c>
      <c r="H31" s="89">
        <f>ROUND('[1]Витрати 20 -21'!$BU$22,2)</f>
        <v>0.96</v>
      </c>
      <c r="I31" s="89">
        <f>ROUND('[1]Витрати 20 -21'!$BV$22,2)</f>
        <v>0.04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16.79</v>
      </c>
      <c r="H34" s="88">
        <f>ROUND(H13+H24+H28+H32+H33,2)</f>
        <v>16.05</v>
      </c>
      <c r="I34" s="88">
        <f>ROUND(I13+I24+I28+I32+I33,2)</f>
        <v>0.74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3.04</v>
      </c>
      <c r="H36" s="88">
        <f>ROUND(H37+H38+H39+H40+H41,2)</f>
        <v>2.91</v>
      </c>
      <c r="I36" s="88">
        <f>ROUND(I37+I38+I39+I40+I41,2)</f>
        <v>0.13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0.54</v>
      </c>
      <c r="H37" s="91">
        <f>ROUND(18%*(H38+H39+H40+H41)/82%,2)</f>
        <v>0.52</v>
      </c>
      <c r="I37" s="91">
        <f>ROUND(18%*(I38+I39+I40+I41)/82%,2)</f>
        <v>0.02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0.43</v>
      </c>
      <c r="H39" s="89">
        <f>ROUND('[1]Витрати 20 -21'!$CJ$22*'[1]Витрати 20 -21'!$BL$28%,2)</f>
        <v>0.41</v>
      </c>
      <c r="I39" s="89">
        <f>ROUND('[1]Витрати 20 -21'!$CK$22*'[1]Витрати 20 -21'!$BM$28%,2)</f>
        <v>0.02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1.74</v>
      </c>
      <c r="H40" s="89">
        <f>ROUND('[1]Витрати 20 -21'!$CG$22*'[1]Витрати 20 -21'!$BL$28%,2)</f>
        <v>1.66</v>
      </c>
      <c r="I40" s="89">
        <f>ROUND('[1]Витрати 20 -21'!$CH$22*'[1]Витрати 20 -21'!$BM$28%,2)</f>
        <v>0.08</v>
      </c>
    </row>
    <row r="41" spans="1:9" ht="46.5" customHeight="1" thickBot="1">
      <c r="A41" s="6">
        <v>8.5</v>
      </c>
      <c r="B41" s="39" t="s">
        <v>133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0.33</v>
      </c>
      <c r="H41" s="88">
        <f>ROUND(H34*2%,2)</f>
        <v>0.32</v>
      </c>
      <c r="I41" s="88">
        <f>ROUND(I34*2%,2)</f>
        <v>0.01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19.830000000000002</v>
      </c>
      <c r="H42" s="88">
        <f>ROUND(H34+H36,2)</f>
        <v>18.96</v>
      </c>
      <c r="I42" s="88">
        <f>ROUND(I34+I36,2)</f>
        <v>0.87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65.71425730959271</v>
      </c>
      <c r="H43" s="88">
        <f>ROUND(H42/H44*1000,2)</f>
        <v>65.709999999999994</v>
      </c>
      <c r="I43" s="88">
        <f>ROUND(I42/I44*1000,2)</f>
        <v>65.75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301.76099999999997</v>
      </c>
      <c r="H44" s="96">
        <f>ROUND('Додаток 1'!K67,3)</f>
        <v>288.529</v>
      </c>
      <c r="I44" s="96">
        <f>ROUND('Додаток 1'!AA67,3)</f>
        <v>13.231999999999999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288.52999999999997</v>
      </c>
      <c r="H45" s="88">
        <f>ROUND(H44,2)</f>
        <v>288.52999999999997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13.231999999999999</v>
      </c>
      <c r="H48" s="88">
        <v>0</v>
      </c>
      <c r="I48" s="95">
        <f>I44</f>
        <v>13.231999999999999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8"/>
      <c r="B52" s="246" t="s">
        <v>146</v>
      </c>
      <c r="C52" s="246"/>
      <c r="D52" s="246"/>
      <c r="E52" s="246"/>
      <c r="F52" s="249" t="s">
        <v>147</v>
      </c>
      <c r="G52" s="249"/>
      <c r="J52" s="101"/>
    </row>
    <row r="53" spans="1:10" ht="25.5" customHeight="1">
      <c r="A53" s="175"/>
      <c r="B53" s="175"/>
      <c r="C53" s="17"/>
      <c r="D53" s="29" t="s">
        <v>64</v>
      </c>
      <c r="E53" s="17"/>
      <c r="F53" s="175" t="s">
        <v>65</v>
      </c>
      <c r="G53" s="175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topLeftCell="A25" zoomScale="60" workbookViewId="0">
      <selection activeCell="A47" sqref="A47:D4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131</v>
      </c>
      <c r="G2" s="11"/>
      <c r="H2" s="247" t="s">
        <v>153</v>
      </c>
      <c r="I2" s="121"/>
      <c r="J2" s="244"/>
      <c r="K2" s="244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250" t="s">
        <v>152</v>
      </c>
      <c r="I3" s="121"/>
      <c r="J3" s="121"/>
      <c r="K3" s="121"/>
    </row>
    <row r="4" spans="1:12" ht="23.25" customHeight="1">
      <c r="A4" s="98" t="s">
        <v>132</v>
      </c>
      <c r="G4" s="11"/>
      <c r="H4" s="247" t="s">
        <v>154</v>
      </c>
      <c r="I4" s="121"/>
      <c r="J4" s="121"/>
      <c r="K4" s="121"/>
    </row>
    <row r="5" spans="1:12">
      <c r="A5" s="100"/>
    </row>
    <row r="6" spans="1:12" ht="25.5" customHeight="1">
      <c r="A6" s="182" t="s">
        <v>140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1:12" ht="25.5" customHeight="1">
      <c r="A7" s="182" t="s">
        <v>141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12" ht="24" thickBot="1">
      <c r="A8" s="101"/>
      <c r="B8" s="59"/>
      <c r="C8" s="59"/>
      <c r="D8" s="63" t="s">
        <v>142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32" t="s">
        <v>68</v>
      </c>
      <c r="C9" s="232" t="s">
        <v>88</v>
      </c>
      <c r="D9" s="234" t="s">
        <v>5</v>
      </c>
      <c r="E9" s="235"/>
      <c r="F9" s="232" t="s">
        <v>6</v>
      </c>
      <c r="G9" s="238" t="s">
        <v>89</v>
      </c>
      <c r="H9" s="239"/>
      <c r="I9" s="239"/>
      <c r="J9" s="239"/>
      <c r="K9" s="240"/>
      <c r="L9" s="5"/>
    </row>
    <row r="10" spans="1:12" ht="58.5" customHeight="1" thickBot="1">
      <c r="A10" s="102"/>
      <c r="B10" s="233"/>
      <c r="C10" s="233"/>
      <c r="D10" s="236"/>
      <c r="E10" s="237"/>
      <c r="F10" s="233"/>
      <c r="G10" s="238" t="s">
        <v>81</v>
      </c>
      <c r="H10" s="240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30">
        <v>3</v>
      </c>
      <c r="E11" s="231"/>
      <c r="F11" s="16">
        <v>4</v>
      </c>
      <c r="G11" s="230">
        <v>5</v>
      </c>
      <c r="H11" s="231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224" t="s">
        <v>53</v>
      </c>
      <c r="E12" s="225"/>
      <c r="F12" s="66">
        <f>ROUND('Додаток 1'!G59,2)</f>
        <v>1931.16</v>
      </c>
      <c r="G12" s="226">
        <f>ROUND('Додаток 1'!K59,2)</f>
        <v>1931.11</v>
      </c>
      <c r="H12" s="227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1932.44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190" t="s">
        <v>53</v>
      </c>
      <c r="E13" s="191"/>
      <c r="F13" s="51">
        <f>('Додаток 1'!G49)/F37*1000</f>
        <v>1631.2909885637973</v>
      </c>
      <c r="G13" s="228">
        <f>('Додаток 1'!K49)/G37*1000</f>
        <v>1631.1705235868837</v>
      </c>
      <c r="H13" s="229"/>
      <c r="I13" s="51">
        <v>0</v>
      </c>
      <c r="J13" s="51">
        <v>0</v>
      </c>
      <c r="K13" s="53">
        <f>('Додаток 1'!AA49)/K37*1000</f>
        <v>1633.9177750906895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190" t="s">
        <v>21</v>
      </c>
      <c r="E14" s="191"/>
      <c r="F14" s="37">
        <v>0</v>
      </c>
      <c r="G14" s="216">
        <v>0</v>
      </c>
      <c r="H14" s="21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190" t="s">
        <v>53</v>
      </c>
      <c r="E15" s="191"/>
      <c r="F15" s="51">
        <f>F12-F13</f>
        <v>299.86901143620275</v>
      </c>
      <c r="G15" s="222">
        <f>G12-G13</f>
        <v>299.93947641311615</v>
      </c>
      <c r="H15" s="223"/>
      <c r="I15" s="51">
        <v>0</v>
      </c>
      <c r="J15" s="51">
        <v>0</v>
      </c>
      <c r="K15" s="51">
        <f>K12-K13</f>
        <v>298.52222490931058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224" t="s">
        <v>53</v>
      </c>
      <c r="E16" s="225"/>
      <c r="F16" s="66">
        <f>F17+F18+F19</f>
        <v>0</v>
      </c>
      <c r="G16" s="226">
        <f t="shared" ref="G16:K16" si="1">G17+G18+G19</f>
        <v>0</v>
      </c>
      <c r="H16" s="227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190" t="s">
        <v>53</v>
      </c>
      <c r="E17" s="191"/>
      <c r="F17" s="37">
        <f>G17+I17+J17+K17</f>
        <v>0</v>
      </c>
      <c r="G17" s="216">
        <v>0</v>
      </c>
      <c r="H17" s="21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190" t="s">
        <v>21</v>
      </c>
      <c r="E18" s="191"/>
      <c r="F18" s="37">
        <f>G18+I18+J18+K18</f>
        <v>0</v>
      </c>
      <c r="G18" s="216">
        <v>0</v>
      </c>
      <c r="H18" s="21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190" t="s">
        <v>53</v>
      </c>
      <c r="E19" s="191"/>
      <c r="F19" s="37">
        <f>G19+I19+J19+K19</f>
        <v>0</v>
      </c>
      <c r="G19" s="216">
        <v>0</v>
      </c>
      <c r="H19" s="21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224" t="s">
        <v>53</v>
      </c>
      <c r="E20" s="225"/>
      <c r="F20" s="66">
        <f>ROUND('Додаток 3'!G43,2)</f>
        <v>65.709999999999994</v>
      </c>
      <c r="G20" s="226">
        <f>ROUND('Додаток 3'!H43,2)</f>
        <v>65.709999999999994</v>
      </c>
      <c r="H20" s="227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65.75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190" t="s">
        <v>53</v>
      </c>
      <c r="E21" s="191"/>
      <c r="F21" s="51">
        <f>('Додаток 3'!G34)/F37*1000</f>
        <v>55.640059517300116</v>
      </c>
      <c r="G21" s="228">
        <f>('Додаток 3'!H34)/G37*1000</f>
        <v>55.626990701108035</v>
      </c>
      <c r="H21" s="229"/>
      <c r="I21" s="51">
        <v>0</v>
      </c>
      <c r="J21" s="51">
        <v>0</v>
      </c>
      <c r="K21" s="51">
        <f>('Додаток 3'!I34)/K37*1000</f>
        <v>55.925030229746071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190" t="s">
        <v>21</v>
      </c>
      <c r="E22" s="191"/>
      <c r="F22" s="37">
        <f t="shared" ref="F22:F26" si="3">G22+I22+J22+K22</f>
        <v>0</v>
      </c>
      <c r="G22" s="216">
        <v>0</v>
      </c>
      <c r="H22" s="21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190" t="s">
        <v>53</v>
      </c>
      <c r="E23" s="191"/>
      <c r="F23" s="51">
        <f>F20-F21</f>
        <v>10.069940482699877</v>
      </c>
      <c r="G23" s="222">
        <f>G20-G21</f>
        <v>10.083009298891959</v>
      </c>
      <c r="H23" s="223"/>
      <c r="I23" s="51">
        <v>0</v>
      </c>
      <c r="J23" s="51">
        <v>0</v>
      </c>
      <c r="K23" s="51">
        <f>K20-K21</f>
        <v>9.8249697702539294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224" t="s">
        <v>53</v>
      </c>
      <c r="E24" s="225"/>
      <c r="F24" s="66">
        <f>F12+F16+F20</f>
        <v>1996.8700000000001</v>
      </c>
      <c r="G24" s="226">
        <f>G12+G16+G20</f>
        <v>1996.82</v>
      </c>
      <c r="H24" s="227"/>
      <c r="I24" s="66">
        <f t="shared" ref="I24:J24" si="4">I12+I20</f>
        <v>0</v>
      </c>
      <c r="J24" s="66">
        <f t="shared" si="4"/>
        <v>0</v>
      </c>
      <c r="K24" s="66">
        <f>K12+K16+K20</f>
        <v>1998.19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190" t="s">
        <v>53</v>
      </c>
      <c r="E25" s="191"/>
      <c r="F25" s="37">
        <f>F13+F17+F21</f>
        <v>1686.9310480810975</v>
      </c>
      <c r="G25" s="210">
        <f>G13+G17+G21</f>
        <v>1686.7975142879918</v>
      </c>
      <c r="H25" s="211"/>
      <c r="I25" s="37">
        <f t="shared" ref="I25:K25" si="5">I13+I17+I21</f>
        <v>0</v>
      </c>
      <c r="J25" s="37">
        <f t="shared" si="5"/>
        <v>0</v>
      </c>
      <c r="K25" s="37">
        <f t="shared" si="5"/>
        <v>1689.8428053204354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190" t="s">
        <v>21</v>
      </c>
      <c r="E26" s="191"/>
      <c r="F26" s="37">
        <f t="shared" si="3"/>
        <v>0</v>
      </c>
      <c r="G26" s="216">
        <f>G14+G18+G22</f>
        <v>0</v>
      </c>
      <c r="H26" s="21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190" t="s">
        <v>53</v>
      </c>
      <c r="E27" s="191"/>
      <c r="F27" s="37">
        <f>F15+F19+F23</f>
        <v>309.9389519189026</v>
      </c>
      <c r="G27" s="210">
        <f>G15+G19+G23</f>
        <v>310.02248571200812</v>
      </c>
      <c r="H27" s="211"/>
      <c r="I27" s="37">
        <v>0</v>
      </c>
      <c r="J27" s="37">
        <f t="shared" ref="J27" si="6">J24-J25-J26</f>
        <v>0</v>
      </c>
      <c r="K27" s="37">
        <f>K15+K19+K23</f>
        <v>308.3471946795645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190" t="s">
        <v>21</v>
      </c>
      <c r="E28" s="191"/>
      <c r="F28" s="37">
        <f>F29+F30+F31</f>
        <v>602.58000000000004</v>
      </c>
      <c r="G28" s="192">
        <f>G29+G30+G31</f>
        <v>576.14</v>
      </c>
      <c r="H28" s="193"/>
      <c r="I28" s="79">
        <f t="shared" ref="I28:J29" si="7">I29+I30+I31</f>
        <v>0</v>
      </c>
      <c r="J28" s="79">
        <f t="shared" si="7"/>
        <v>0</v>
      </c>
      <c r="K28" s="79">
        <f>K29+K30+K31</f>
        <v>26.439999999999998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190" t="s">
        <v>21</v>
      </c>
      <c r="E29" s="191"/>
      <c r="F29" s="79">
        <f>G29+K29</f>
        <v>509.05</v>
      </c>
      <c r="G29" s="218">
        <f>ROUND('Додаток 1'!K49+'Додаток 3'!H34,2)</f>
        <v>486.69</v>
      </c>
      <c r="H29" s="219"/>
      <c r="I29" s="79">
        <f t="shared" si="7"/>
        <v>0</v>
      </c>
      <c r="J29" s="79">
        <f t="shared" si="7"/>
        <v>0</v>
      </c>
      <c r="K29" s="73">
        <f>ROUND('Додаток 1'!AA49+'Додаток 3'!I34,2)</f>
        <v>22.36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190" t="s">
        <v>21</v>
      </c>
      <c r="E30" s="191"/>
      <c r="F30" s="79">
        <v>0</v>
      </c>
      <c r="G30" s="220">
        <v>0</v>
      </c>
      <c r="H30" s="221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190" t="s">
        <v>21</v>
      </c>
      <c r="E31" s="191"/>
      <c r="F31" s="79">
        <f>G31+K31</f>
        <v>93.53</v>
      </c>
      <c r="G31" s="218">
        <f>ROUND('Додаток 1'!K51+'Додаток 3'!H36,2)</f>
        <v>89.45</v>
      </c>
      <c r="H31" s="219"/>
      <c r="I31" s="79">
        <v>0</v>
      </c>
      <c r="J31" s="79">
        <v>0</v>
      </c>
      <c r="K31" s="73">
        <f>ROUND('Додаток 1'!AA51+'Додаток 3'!I36,2)</f>
        <v>4.08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190" t="s">
        <v>21</v>
      </c>
      <c r="E32" s="191"/>
      <c r="F32" s="37">
        <f>F33+F34+F35</f>
        <v>602.58000000000004</v>
      </c>
      <c r="G32" s="210">
        <f t="shared" ref="G32:K32" si="8">G28</f>
        <v>576.14</v>
      </c>
      <c r="H32" s="211"/>
      <c r="I32" s="37">
        <v>0</v>
      </c>
      <c r="J32" s="37">
        <v>0</v>
      </c>
      <c r="K32" s="37">
        <f t="shared" si="8"/>
        <v>26.439999999999998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190" t="s">
        <v>21</v>
      </c>
      <c r="E33" s="191"/>
      <c r="F33" s="37">
        <f>F29</f>
        <v>509.05</v>
      </c>
      <c r="G33" s="210">
        <f t="shared" ref="G33:K33" si="9">G29</f>
        <v>486.69</v>
      </c>
      <c r="H33" s="211"/>
      <c r="I33" s="37">
        <f t="shared" si="9"/>
        <v>0</v>
      </c>
      <c r="J33" s="37">
        <f t="shared" si="9"/>
        <v>0</v>
      </c>
      <c r="K33" s="37">
        <f t="shared" si="9"/>
        <v>22.36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190" t="s">
        <v>21</v>
      </c>
      <c r="E34" s="191"/>
      <c r="F34" s="37">
        <v>0</v>
      </c>
      <c r="G34" s="216">
        <v>0</v>
      </c>
      <c r="H34" s="21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190" t="s">
        <v>21</v>
      </c>
      <c r="E35" s="191"/>
      <c r="F35" s="37">
        <f>F31</f>
        <v>93.53</v>
      </c>
      <c r="G35" s="210">
        <f t="shared" ref="G35:K35" si="10">G32-G33-G34</f>
        <v>89.449999999999989</v>
      </c>
      <c r="H35" s="211"/>
      <c r="I35" s="37">
        <f t="shared" si="10"/>
        <v>0</v>
      </c>
      <c r="J35" s="37">
        <f t="shared" si="10"/>
        <v>0</v>
      </c>
      <c r="K35" s="37">
        <f t="shared" si="10"/>
        <v>4.0799999999999983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190" t="s">
        <v>57</v>
      </c>
      <c r="E36" s="191"/>
      <c r="F36" s="38">
        <f>F37+F38</f>
        <v>301.76099999999997</v>
      </c>
      <c r="G36" s="212">
        <f t="shared" ref="G36:K36" si="11">G37+G38</f>
        <v>288.529</v>
      </c>
      <c r="H36" s="213"/>
      <c r="I36" s="38">
        <f t="shared" si="11"/>
        <v>0</v>
      </c>
      <c r="J36" s="38">
        <f t="shared" si="11"/>
        <v>0</v>
      </c>
      <c r="K36" s="38">
        <f t="shared" si="11"/>
        <v>13.231999999999999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190" t="s">
        <v>57</v>
      </c>
      <c r="E37" s="191"/>
      <c r="F37" s="38">
        <f>G37+K37</f>
        <v>301.76099999999997</v>
      </c>
      <c r="G37" s="214">
        <f>'Додаток 1'!K67</f>
        <v>288.529</v>
      </c>
      <c r="H37" s="215"/>
      <c r="I37" s="38">
        <v>0</v>
      </c>
      <c r="J37" s="38">
        <v>0</v>
      </c>
      <c r="K37" s="94">
        <f>'Додаток 1'!AA67</f>
        <v>13.231999999999999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190" t="s">
        <v>57</v>
      </c>
      <c r="E38" s="191"/>
      <c r="F38" s="38">
        <v>0</v>
      </c>
      <c r="G38" s="204">
        <v>0</v>
      </c>
      <c r="H38" s="205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06"/>
      <c r="E39" s="207"/>
      <c r="F39" s="82" t="s">
        <v>127</v>
      </c>
      <c r="G39" s="208" t="s">
        <v>127</v>
      </c>
      <c r="H39" s="209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190" t="s">
        <v>110</v>
      </c>
      <c r="E40" s="191"/>
      <c r="F40" s="79">
        <f>F15/F13*100</f>
        <v>18.382312753422983</v>
      </c>
      <c r="G40" s="192">
        <f t="shared" ref="G40:K40" si="12">G15/G13*100</f>
        <v>18.387990223950364</v>
      </c>
      <c r="H40" s="193"/>
      <c r="I40" s="79">
        <v>0</v>
      </c>
      <c r="J40" s="79">
        <v>0</v>
      </c>
      <c r="K40" s="79">
        <f t="shared" si="12"/>
        <v>18.270333395004613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190" t="s">
        <v>110</v>
      </c>
      <c r="E41" s="191"/>
      <c r="F41" s="79">
        <v>0</v>
      </c>
      <c r="G41" s="192">
        <v>0</v>
      </c>
      <c r="H41" s="19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194" t="s">
        <v>110</v>
      </c>
      <c r="E42" s="148"/>
      <c r="F42" s="80">
        <f>F23/F21*100</f>
        <v>18.098363966646801</v>
      </c>
      <c r="G42" s="195">
        <f t="shared" ref="G42:K42" si="13">G23/G21*100</f>
        <v>18.126109595015564</v>
      </c>
      <c r="H42" s="196"/>
      <c r="I42" s="80">
        <v>0</v>
      </c>
      <c r="J42" s="80">
        <v>0</v>
      </c>
      <c r="K42" s="80">
        <f t="shared" si="13"/>
        <v>17.568108108108106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197" t="s">
        <v>110</v>
      </c>
      <c r="E43" s="198"/>
      <c r="F43" s="81">
        <f>F27/F25*100</f>
        <v>18.372947268441205</v>
      </c>
      <c r="G43" s="199">
        <f t="shared" ref="G43:K43" si="14">G27/G25*100</f>
        <v>18.379353958371858</v>
      </c>
      <c r="H43" s="200"/>
      <c r="I43" s="81">
        <v>0</v>
      </c>
      <c r="J43" s="81">
        <v>0</v>
      </c>
      <c r="K43" s="81">
        <f t="shared" si="14"/>
        <v>18.247093381037555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01"/>
      <c r="C45" s="201"/>
      <c r="D45" s="201"/>
      <c r="E45" s="201"/>
      <c r="F45" s="22"/>
      <c r="G45" s="22"/>
      <c r="H45" s="27"/>
      <c r="I45" s="27"/>
      <c r="J45" s="27"/>
      <c r="K45" s="27"/>
      <c r="L45" s="28"/>
    </row>
    <row r="46" spans="1:12" ht="21.75" customHeight="1">
      <c r="A46" s="202" t="s">
        <v>155</v>
      </c>
      <c r="B46" s="202"/>
      <c r="C46" s="202"/>
      <c r="D46" s="202"/>
      <c r="E46" s="203"/>
      <c r="F46" s="203"/>
      <c r="G46" s="203"/>
      <c r="H46" s="189" t="s">
        <v>147</v>
      </c>
      <c r="I46" s="189"/>
      <c r="J46" s="189"/>
      <c r="K46" s="189"/>
      <c r="L46" s="189"/>
    </row>
    <row r="47" spans="1:12" ht="29.25" customHeight="1">
      <c r="A47" s="175"/>
      <c r="B47" s="175"/>
      <c r="C47" s="175"/>
      <c r="D47" s="175"/>
      <c r="E47" s="175" t="s">
        <v>64</v>
      </c>
      <c r="F47" s="175"/>
      <c r="G47" s="175"/>
      <c r="H47" s="175" t="s">
        <v>65</v>
      </c>
      <c r="I47" s="175"/>
      <c r="J47" s="175"/>
      <c r="K47" s="175"/>
      <c r="L47" s="175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2021-06-07T13:09:29Z</cp:lastPrinted>
  <dcterms:created xsi:type="dcterms:W3CDTF">2020-02-19T15:30:08Z</dcterms:created>
  <dcterms:modified xsi:type="dcterms:W3CDTF">2021-06-07T13:09:37Z</dcterms:modified>
</cp:coreProperties>
</file>