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AA55" i="1" s="1"/>
  <c r="I39" i="2"/>
  <c r="AA54" i="1" s="1"/>
  <c r="I31" i="2"/>
  <c r="I29" i="2"/>
  <c r="I27" i="2"/>
  <c r="AA41" i="1" s="1"/>
  <c r="I25" i="2"/>
  <c r="H40" i="2"/>
  <c r="K55" i="1" s="1"/>
  <c r="H39" i="2"/>
  <c r="K54" i="1" s="1"/>
  <c r="H31" i="2"/>
  <c r="H29" i="2"/>
  <c r="H27" i="2"/>
  <c r="K41" i="1" s="1"/>
  <c r="K38" i="1"/>
  <c r="AA62" i="1"/>
  <c r="AA38" i="1"/>
  <c r="AA36" i="1"/>
  <c r="AA33" i="1"/>
  <c r="AA31" i="1"/>
  <c r="AA30" i="1"/>
  <c r="AA25" i="1"/>
  <c r="AA23" i="1"/>
  <c r="AA22" i="1"/>
  <c r="AA20" i="1"/>
  <c r="AA19" i="1"/>
  <c r="K62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G60" i="1" l="1"/>
  <c r="D27" i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/>
</calcChain>
</file>

<file path=xl/sharedStrings.xml><?xml version="1.0" encoding="utf-8"?>
<sst xmlns="http://schemas.openxmlformats.org/spreadsheetml/2006/main" count="415" uniqueCount="155">
  <si>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</si>
  <si>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</si>
  <si>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</si>
  <si>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</si>
  <si>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</si>
  <si>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</si>
  <si>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</si>
  <si>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</si>
  <si>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</si>
  <si>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</si>
  <si>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</si>
  <si>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</si>
  <si>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</si>
  <si>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</si>
  <si>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</si>
  <si>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</si>
  <si>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</si>
  <si>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</si>
  <si>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</si>
  <si>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</si>
  <si>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</si>
  <si>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</si>
  <si>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</si>
  <si>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</si>
  <si>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</si>
  <si>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</si>
  <si>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</si>
  <si>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</si>
  <si>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</si>
  <si>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</si>
  <si>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</si>
  <si>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</si>
  <si>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</si>
  <si>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</si>
  <si>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</si>
  <si>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</si>
  <si>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</si>
  <si>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</si>
  <si>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</si>
  <si>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</si>
  <si>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</si>
  <si>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</si>
  <si>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</si>
  <si>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</si>
  <si>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</si>
  <si>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</si>
  <si>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</si>
  <si>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</si>
  <si>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</si>
  <si>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</si>
  <si>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</si>
  <si>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</si>
  <si>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</si>
  <si>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</si>
  <si>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</si>
  <si>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</si>
  <si>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</si>
  <si>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</si>
  <si>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</si>
  <si>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</si>
  <si>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</si>
  <si>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</si>
  <si>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</si>
  <si>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</si>
  <si>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</si>
  <si>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</si>
  <si>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</si>
  <si>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</si>
  <si>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</si>
  <si>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</si>
  <si>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</si>
  <si>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</si>
  <si>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</si>
  <si>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</si>
  <si>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</si>
  <si>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</si>
  <si>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</si>
  <si>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</si>
  <si>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</si>
  <si>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</si>
  <si>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</si>
  <si>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</si>
  <si>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</si>
  <si>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</si>
  <si>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</si>
  <si>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</si>
  <si>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</si>
  <si>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</si>
  <si>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</si>
  <si>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</si>
  <si>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</si>
  <si>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</si>
  <si>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</si>
  <si>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</si>
  <si>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</si>
  <si>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</si>
  <si>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</si>
  <si>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</si>
  <si>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</si>
  <si>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</si>
  <si>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</si>
  <si>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</si>
  <si>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</si>
  <si>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</si>
  <si>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</si>
  <si>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</si>
  <si>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</si>
  <si>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</si>
  <si>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</si>
  <si>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</si>
  <si>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</si>
  <si>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</si>
  <si>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</si>
  <si>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</si>
  <si>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</si>
  <si>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</si>
  <si>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</si>
  <si>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</si>
  <si>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</si>
  <si>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</si>
  <si>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</si>
  <si>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</si>
  <si>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</si>
  <si>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</si>
  <si>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</si>
  <si>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</si>
  <si>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</si>
  <si>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</si>
  <si>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</si>
  <si>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</si>
  <si>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</si>
  <si>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                                                                                                     </t>
  </si>
  <si>
    <t xml:space="preserve"> Додаток 4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</si>
  <si>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</si>
  <si>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</si>
  <si>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</si>
  <si>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</si>
  <si>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</si>
  <si>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</si>
  <si>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</si>
  <si>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</si>
  <si>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</si>
  <si>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</si>
  <si>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Лесі Українки 74 А</t>
  </si>
  <si>
    <t xml:space="preserve">          за адресою: м.Вишневе  вул. Лесі Українки 74А</t>
  </si>
  <si>
    <t xml:space="preserve">   за адресою: м.Вишневе  вул. Лесі Українки 74А</t>
  </si>
  <si>
    <r>
      <t xml:space="preserve">Бучанського району від _______________ року </t>
    </r>
    <r>
      <rPr>
        <b/>
        <u/>
        <sz val="18"/>
        <color theme="1"/>
        <rFont val="Times New Roman"/>
        <family val="1"/>
        <charset val="204"/>
      </rPr>
      <t>№________</t>
    </r>
  </si>
  <si>
    <t xml:space="preserve">Керуюча справами </t>
  </si>
  <si>
    <t>О.ВДОВЕНКО</t>
  </si>
  <si>
    <t xml:space="preserve">                                                              до рішення Виконавчого комітету Вишневої міської ради</t>
  </si>
  <si>
    <t xml:space="preserve">                                                              Додаток 3</t>
  </si>
  <si>
    <r>
      <t xml:space="preserve">                                                              Бучанського району від ______________</t>
    </r>
    <r>
      <rPr>
        <b/>
        <u/>
        <sz val="18"/>
        <color theme="1"/>
        <rFont val="Times New Roman"/>
        <family val="1"/>
        <charset val="204"/>
      </rPr>
      <t xml:space="preserve"> року </t>
    </r>
    <r>
      <rPr>
        <b/>
        <sz val="18"/>
        <color theme="1"/>
        <rFont val="Times New Roman"/>
        <family val="1"/>
        <charset val="204"/>
      </rPr>
      <t>№ _________</t>
    </r>
  </si>
  <si>
    <t>до рішення Виконавчого комітету Вишневої міської ради</t>
  </si>
  <si>
    <r>
      <t xml:space="preserve">Бучанського району від _____________ року </t>
    </r>
    <r>
      <rPr>
        <b/>
        <u/>
        <sz val="18"/>
        <color theme="1"/>
        <rFont val="Times New Roman"/>
        <family val="1"/>
        <charset val="204"/>
      </rPr>
      <t>№ ______</t>
    </r>
  </si>
  <si>
    <t>Керуюча справами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</si>
</sst>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0" fillId="0" borderId="0" xfId="0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  <xf numFmtId="0" fontId="16" fillId="0" borderId="0" xfId="0" applyFont="1" applyAlignment="1"/>
    <xf numFmtId="0" fontId="22" fillId="0" borderId="0" xfId="0" applyFont="1" applyAlignment="1"/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33" fillId="0" borderId="23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16" fillId="0" borderId="23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1">
          <cell r="C11">
            <v>441.32799999999997</v>
          </cell>
          <cell r="D11">
            <v>95.251999999999995</v>
          </cell>
          <cell r="S11">
            <v>1.4</v>
          </cell>
          <cell r="T11">
            <v>0.3</v>
          </cell>
          <cell r="V11">
            <v>83.06</v>
          </cell>
          <cell r="W11">
            <v>17.93</v>
          </cell>
          <cell r="AE11">
            <v>2.85</v>
          </cell>
          <cell r="AF11">
            <v>0.61</v>
          </cell>
          <cell r="AH11">
            <v>16.22</v>
          </cell>
          <cell r="AI11">
            <v>3.5</v>
          </cell>
          <cell r="AN11">
            <v>10.9</v>
          </cell>
          <cell r="AO11">
            <v>2.35</v>
          </cell>
          <cell r="AT11">
            <v>39.67</v>
          </cell>
          <cell r="AU11">
            <v>8.56</v>
          </cell>
          <cell r="BC11">
            <v>33.81</v>
          </cell>
          <cell r="BD11">
            <v>7.23</v>
          </cell>
          <cell r="BI11">
            <v>8.41</v>
          </cell>
          <cell r="BJ11">
            <v>1.8</v>
          </cell>
          <cell r="BO11">
            <v>17.649999999999999</v>
          </cell>
          <cell r="BP11">
            <v>3.81</v>
          </cell>
          <cell r="BU11">
            <v>1.47</v>
          </cell>
          <cell r="BV11">
            <v>0.32</v>
          </cell>
          <cell r="CG11">
            <v>0</v>
          </cell>
          <cell r="CH11">
            <v>0</v>
          </cell>
          <cell r="CJ11">
            <v>19.47</v>
          </cell>
          <cell r="CK11">
            <v>4.2</v>
          </cell>
          <cell r="DB11">
            <v>490376.98</v>
          </cell>
          <cell r="DC11">
            <v>105788.17</v>
          </cell>
          <cell r="DK11">
            <v>33000.49</v>
          </cell>
          <cell r="DL11">
            <v>7052.73</v>
          </cell>
          <cell r="DR11">
            <v>1254.1300000000001</v>
          </cell>
          <cell r="DS11">
            <v>121.83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tabSelected="1" view="pageBreakPreview" zoomScale="60" workbookViewId="0">
      <pane xSplit="8" ySplit="12" topLeftCell="I64" activePane="bottomRight" state="frozen"/>
      <selection pane="topRight" activeCell="I1" sqref="I1"/>
      <selection pane="bottomLeft" activeCell="A13" sqref="A13"/>
      <selection pane="bottomRight" activeCell="U8" sqref="U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236" t="s">
        <v>0</v>
      </c>
      <c r="V4" s="237"/>
      <c r="W4" s="237"/>
      <c r="X4" s="237"/>
      <c r="Y4" s="237"/>
      <c r="Z4" s="237"/>
      <c r="AA4" s="237"/>
    </row>
    <row r="5" spans="1:27" ht="23.25">
      <c r="A5" s="1"/>
      <c r="U5" s="236" t="s">
        <v>138</v>
      </c>
      <c r="V5" s="237"/>
      <c r="W5" s="237"/>
      <c r="X5" s="237"/>
      <c r="Y5" s="237"/>
      <c r="Z5" s="237"/>
      <c r="AA5" s="237"/>
    </row>
    <row r="6" spans="1:27" ht="23.25">
      <c r="A6" s="1"/>
      <c r="U6" s="236" t="s">
        <v>146</v>
      </c>
      <c r="V6" s="237"/>
      <c r="W6" s="237"/>
      <c r="X6" s="237"/>
      <c r="Y6" s="237"/>
      <c r="Z6" s="237"/>
      <c r="AA6" s="237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</row>
    <row r="8" spans="1:27" ht="25.5">
      <c r="A8" s="3" t="s">
        <v>67</v>
      </c>
      <c r="H8" s="178" t="s">
        <v>139</v>
      </c>
      <c r="I8" s="179"/>
      <c r="J8" s="179"/>
      <c r="K8" s="179"/>
      <c r="L8" s="179"/>
      <c r="M8" s="179"/>
      <c r="N8" s="179"/>
    </row>
    <row r="9" spans="1:27" ht="29.25" customHeight="1" thickBot="1">
      <c r="H9" s="176" t="s">
        <v>145</v>
      </c>
      <c r="I9" s="176"/>
      <c r="J9" s="176"/>
      <c r="K9" s="176"/>
      <c r="L9" s="176"/>
      <c r="M9" s="177"/>
      <c r="N9" s="177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26" t="s">
        <v>6</v>
      </c>
      <c r="E10" s="127"/>
      <c r="F10" s="127"/>
      <c r="G10" s="128"/>
      <c r="H10" s="126" t="s">
        <v>7</v>
      </c>
      <c r="I10" s="127"/>
      <c r="J10" s="127"/>
      <c r="K10" s="128"/>
      <c r="L10" s="126" t="s">
        <v>7</v>
      </c>
      <c r="M10" s="127"/>
      <c r="N10" s="127"/>
      <c r="O10" s="128"/>
      <c r="P10" s="126" t="s">
        <v>7</v>
      </c>
      <c r="Q10" s="127"/>
      <c r="R10" s="127"/>
      <c r="S10" s="128"/>
      <c r="T10" s="126" t="s">
        <v>12</v>
      </c>
      <c r="U10" s="127"/>
      <c r="V10" s="127"/>
      <c r="W10" s="127"/>
      <c r="X10" s="127"/>
      <c r="Y10" s="127"/>
      <c r="Z10" s="127"/>
      <c r="AA10" s="128"/>
    </row>
    <row r="11" spans="1:27" ht="23.25" thickBot="1">
      <c r="A11" s="110" t="s">
        <v>3</v>
      </c>
      <c r="B11" s="111"/>
      <c r="C11" s="111"/>
      <c r="D11" s="132"/>
      <c r="E11" s="143"/>
      <c r="F11" s="143"/>
      <c r="G11" s="134"/>
      <c r="H11" s="132" t="s">
        <v>8</v>
      </c>
      <c r="I11" s="133"/>
      <c r="J11" s="133"/>
      <c r="K11" s="134"/>
      <c r="L11" s="132" t="s">
        <v>9</v>
      </c>
      <c r="M11" s="133"/>
      <c r="N11" s="133"/>
      <c r="O11" s="134"/>
      <c r="P11" s="132" t="s">
        <v>10</v>
      </c>
      <c r="Q11" s="133"/>
      <c r="R11" s="133"/>
      <c r="S11" s="134"/>
      <c r="T11" s="129"/>
      <c r="U11" s="130"/>
      <c r="V11" s="130"/>
      <c r="W11" s="130"/>
      <c r="X11" s="130"/>
      <c r="Y11" s="130"/>
      <c r="Z11" s="130"/>
      <c r="AA11" s="131"/>
    </row>
    <row r="12" spans="1:27" ht="27.75" customHeight="1">
      <c r="A12" s="112"/>
      <c r="B12" s="111"/>
      <c r="C12" s="111"/>
      <c r="D12" s="132"/>
      <c r="E12" s="143"/>
      <c r="F12" s="143"/>
      <c r="G12" s="134"/>
      <c r="H12" s="135"/>
      <c r="I12" s="136"/>
      <c r="J12" s="136"/>
      <c r="K12" s="137"/>
      <c r="L12" s="135"/>
      <c r="M12" s="136"/>
      <c r="N12" s="136"/>
      <c r="O12" s="137"/>
      <c r="P12" s="132" t="s">
        <v>11</v>
      </c>
      <c r="Q12" s="133"/>
      <c r="R12" s="133"/>
      <c r="S12" s="134"/>
      <c r="T12" s="126" t="s">
        <v>13</v>
      </c>
      <c r="U12" s="127"/>
      <c r="V12" s="127"/>
      <c r="W12" s="128"/>
      <c r="X12" s="126" t="s">
        <v>13</v>
      </c>
      <c r="Y12" s="127"/>
      <c r="Z12" s="127"/>
      <c r="AA12" s="128"/>
    </row>
    <row r="13" spans="1:27" ht="22.5">
      <c r="A13" s="112"/>
      <c r="B13" s="111"/>
      <c r="C13" s="111"/>
      <c r="D13" s="132"/>
      <c r="E13" s="143"/>
      <c r="F13" s="143"/>
      <c r="G13" s="134"/>
      <c r="H13" s="135"/>
      <c r="I13" s="136"/>
      <c r="J13" s="136"/>
      <c r="K13" s="137"/>
      <c r="L13" s="135"/>
      <c r="M13" s="136"/>
      <c r="N13" s="136"/>
      <c r="O13" s="137"/>
      <c r="P13" s="135"/>
      <c r="Q13" s="136"/>
      <c r="R13" s="136"/>
      <c r="S13" s="137"/>
      <c r="T13" s="132" t="s">
        <v>10</v>
      </c>
      <c r="U13" s="133"/>
      <c r="V13" s="133"/>
      <c r="W13" s="134"/>
      <c r="X13" s="132" t="s">
        <v>14</v>
      </c>
      <c r="Y13" s="133"/>
      <c r="Z13" s="133"/>
      <c r="AA13" s="134"/>
    </row>
    <row r="14" spans="1:27" ht="21.75" customHeight="1" thickBot="1">
      <c r="A14" s="112"/>
      <c r="B14" s="111"/>
      <c r="C14" s="111"/>
      <c r="D14" s="129"/>
      <c r="E14" s="130"/>
      <c r="F14" s="130"/>
      <c r="G14" s="131"/>
      <c r="H14" s="138"/>
      <c r="I14" s="139"/>
      <c r="J14" s="139"/>
      <c r="K14" s="140"/>
      <c r="L14" s="138"/>
      <c r="M14" s="139"/>
      <c r="N14" s="139"/>
      <c r="O14" s="140"/>
      <c r="P14" s="138"/>
      <c r="Q14" s="139"/>
      <c r="R14" s="139"/>
      <c r="S14" s="140"/>
      <c r="T14" s="138"/>
      <c r="U14" s="139"/>
      <c r="V14" s="139"/>
      <c r="W14" s="140"/>
      <c r="X14" s="129" t="s">
        <v>15</v>
      </c>
      <c r="Y14" s="130"/>
      <c r="Z14" s="130"/>
      <c r="AA14" s="131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850.06999999999994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699.4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150.67000000000002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150.66999999999999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639.29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526.03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113.26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113.26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596.16999999999996</v>
      </c>
      <c r="H19" s="51">
        <v>0</v>
      </c>
      <c r="I19" s="51">
        <v>0</v>
      </c>
      <c r="J19" s="51">
        <v>0</v>
      </c>
      <c r="K19" s="68">
        <f>ROUND('[1]Витрати 20 -21'!$DB$11/1000,2)</f>
        <v>490.38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105.79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20 -21'!$DC$11/1000,2)</f>
        <v>105.79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40.049999999999997</v>
      </c>
      <c r="H20" s="51">
        <v>0</v>
      </c>
      <c r="I20" s="51">
        <v>0</v>
      </c>
      <c r="J20" s="51">
        <v>0</v>
      </c>
      <c r="K20" s="68">
        <f>ROUND('[1]Витрати 20 -21'!$DK$11/1000,2)</f>
        <v>33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7.05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20 -21'!$DL$11/1000,2)</f>
        <v>7.05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1.37</v>
      </c>
      <c r="H22" s="51">
        <v>0</v>
      </c>
      <c r="I22" s="51">
        <v>0</v>
      </c>
      <c r="J22" s="51">
        <v>0</v>
      </c>
      <c r="K22" s="68">
        <f>ROUND('[1]Витрати 20 -21'!$DR$11/1000,2)</f>
        <v>1.25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0.12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20 -21'!$DS$11/1000,2)</f>
        <v>0.12</v>
      </c>
    </row>
    <row r="23" spans="1:28" ht="24.75" customHeight="1" thickBot="1">
      <c r="A23" s="150" t="s">
        <v>118</v>
      </c>
      <c r="B23" s="46" t="s">
        <v>125</v>
      </c>
      <c r="C23" s="152" t="s">
        <v>21</v>
      </c>
      <c r="D23" s="122">
        <f t="shared" si="12"/>
        <v>0</v>
      </c>
      <c r="E23" s="122">
        <f t="shared" si="13"/>
        <v>0</v>
      </c>
      <c r="F23" s="122">
        <f t="shared" si="14"/>
        <v>0</v>
      </c>
      <c r="G23" s="122">
        <f t="shared" si="15"/>
        <v>1.7</v>
      </c>
      <c r="H23" s="51"/>
      <c r="I23" s="51"/>
      <c r="J23" s="51"/>
      <c r="K23" s="141">
        <f>ROUND('[1]Витрати 20 -21'!$S$11,2)</f>
        <v>1.4</v>
      </c>
      <c r="L23" s="122">
        <v>0</v>
      </c>
      <c r="M23" s="122">
        <v>0</v>
      </c>
      <c r="N23" s="122">
        <v>0</v>
      </c>
      <c r="O23" s="122">
        <v>0</v>
      </c>
      <c r="P23" s="122">
        <f t="shared" si="7"/>
        <v>0</v>
      </c>
      <c r="Q23" s="122">
        <f t="shared" si="8"/>
        <v>0</v>
      </c>
      <c r="R23" s="122">
        <f t="shared" si="9"/>
        <v>0</v>
      </c>
      <c r="S23" s="122">
        <f t="shared" si="10"/>
        <v>0.3</v>
      </c>
      <c r="T23" s="122">
        <v>0</v>
      </c>
      <c r="U23" s="122">
        <v>0</v>
      </c>
      <c r="V23" s="122">
        <f t="shared" ref="V23:W23" si="19">V24+V31+V32+V33+V38</f>
        <v>0</v>
      </c>
      <c r="W23" s="122">
        <f t="shared" si="19"/>
        <v>0</v>
      </c>
      <c r="X23" s="124">
        <v>0</v>
      </c>
      <c r="Y23" s="124">
        <v>0</v>
      </c>
      <c r="Z23" s="124">
        <v>0</v>
      </c>
      <c r="AA23" s="141">
        <f>ROUND('[1]Витрати 20 -21'!$T$11,2)</f>
        <v>0.3</v>
      </c>
    </row>
    <row r="24" spans="1:28" ht="30.75" customHeight="1" thickBot="1">
      <c r="A24" s="151"/>
      <c r="B24" s="46" t="s">
        <v>126</v>
      </c>
      <c r="C24" s="153"/>
      <c r="D24" s="123"/>
      <c r="E24" s="123"/>
      <c r="F24" s="123"/>
      <c r="G24" s="123"/>
      <c r="H24" s="51">
        <v>0</v>
      </c>
      <c r="I24" s="51">
        <v>0</v>
      </c>
      <c r="J24" s="51">
        <v>0</v>
      </c>
      <c r="K24" s="142"/>
      <c r="L24" s="123"/>
      <c r="M24" s="154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5"/>
      <c r="Y24" s="125"/>
      <c r="Z24" s="125"/>
      <c r="AA24" s="142"/>
    </row>
    <row r="25" spans="1:28" ht="21.75" customHeight="1" thickBot="1">
      <c r="A25" s="146">
        <v>1.2</v>
      </c>
      <c r="B25" s="47" t="s">
        <v>27</v>
      </c>
      <c r="C25" s="148" t="s">
        <v>21</v>
      </c>
      <c r="D25" s="122">
        <f>H25+P25</f>
        <v>0</v>
      </c>
      <c r="E25" s="122">
        <f>I25+Q25</f>
        <v>0</v>
      </c>
      <c r="F25" s="122">
        <f>J25+R25</f>
        <v>0</v>
      </c>
      <c r="G25" s="122">
        <f>K25+S25</f>
        <v>100.99000000000001</v>
      </c>
      <c r="H25" s="51"/>
      <c r="I25" s="51"/>
      <c r="J25" s="51"/>
      <c r="K25" s="141">
        <f>ROUND('[1]Витрати 20 -21'!$V$11,2)</f>
        <v>83.06</v>
      </c>
      <c r="L25" s="155">
        <v>0</v>
      </c>
      <c r="M25" s="157">
        <v>0</v>
      </c>
      <c r="N25" s="159">
        <v>0</v>
      </c>
      <c r="O25" s="122">
        <v>0</v>
      </c>
      <c r="P25" s="122">
        <f t="shared" si="7"/>
        <v>0</v>
      </c>
      <c r="Q25" s="122">
        <f t="shared" si="8"/>
        <v>0</v>
      </c>
      <c r="R25" s="122">
        <f t="shared" si="9"/>
        <v>0</v>
      </c>
      <c r="S25" s="122">
        <f t="shared" si="10"/>
        <v>17.93</v>
      </c>
      <c r="T25" s="122">
        <v>0</v>
      </c>
      <c r="U25" s="122">
        <v>0</v>
      </c>
      <c r="V25" s="122">
        <f t="shared" ref="V25:W25" si="20">V26+V33+V34+V35+V40</f>
        <v>0</v>
      </c>
      <c r="W25" s="122">
        <f t="shared" si="20"/>
        <v>0</v>
      </c>
      <c r="X25" s="124">
        <v>0</v>
      </c>
      <c r="Y25" s="124">
        <v>0</v>
      </c>
      <c r="Z25" s="124">
        <v>0</v>
      </c>
      <c r="AA25" s="141">
        <f>ROUND('[1]Витрати 20 -21'!$W$11,2)</f>
        <v>17.93</v>
      </c>
    </row>
    <row r="26" spans="1:28" ht="32.25" customHeight="1" thickBot="1">
      <c r="A26" s="147"/>
      <c r="B26" s="48" t="s">
        <v>28</v>
      </c>
      <c r="C26" s="149"/>
      <c r="D26" s="123"/>
      <c r="E26" s="123"/>
      <c r="F26" s="123"/>
      <c r="G26" s="123"/>
      <c r="H26" s="51">
        <v>0</v>
      </c>
      <c r="I26" s="51">
        <v>0</v>
      </c>
      <c r="J26" s="51">
        <v>0</v>
      </c>
      <c r="K26" s="142"/>
      <c r="L26" s="156"/>
      <c r="M26" s="158"/>
      <c r="N26" s="160"/>
      <c r="O26" s="123"/>
      <c r="P26" s="123"/>
      <c r="Q26" s="123"/>
      <c r="R26" s="123"/>
      <c r="S26" s="123"/>
      <c r="T26" s="123"/>
      <c r="U26" s="123"/>
      <c r="V26" s="123"/>
      <c r="W26" s="123"/>
      <c r="X26" s="125"/>
      <c r="Y26" s="125"/>
      <c r="Z26" s="125"/>
      <c r="AA26" s="142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45.39</v>
      </c>
      <c r="H27" s="51">
        <v>0</v>
      </c>
      <c r="I27" s="51">
        <v>0</v>
      </c>
      <c r="J27" s="51">
        <v>0</v>
      </c>
      <c r="K27" s="51">
        <f>ROUND(K28+K29+K30+K31,2)</f>
        <v>37.340000000000003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8.0500000000000007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8.0500000000000007</v>
      </c>
    </row>
    <row r="28" spans="1:28" ht="20.25" customHeight="1" thickBot="1">
      <c r="A28" s="163" t="s">
        <v>119</v>
      </c>
      <c r="B28" s="47" t="s">
        <v>30</v>
      </c>
      <c r="C28" s="148" t="s">
        <v>21</v>
      </c>
      <c r="D28" s="122">
        <f t="shared" ref="D28:D31" si="23">H28+P28</f>
        <v>0</v>
      </c>
      <c r="E28" s="122">
        <f t="shared" ref="E28:E31" si="24">I28+Q28</f>
        <v>0</v>
      </c>
      <c r="F28" s="122">
        <v>0</v>
      </c>
      <c r="G28" s="122">
        <f>K28+O28+S28</f>
        <v>22.21</v>
      </c>
      <c r="H28" s="51"/>
      <c r="I28" s="51"/>
      <c r="J28" s="51"/>
      <c r="K28" s="124">
        <f>ROUND(K25*22%,2)</f>
        <v>18.27</v>
      </c>
      <c r="L28" s="122">
        <v>0</v>
      </c>
      <c r="M28" s="122">
        <v>0</v>
      </c>
      <c r="N28" s="122">
        <v>0</v>
      </c>
      <c r="O28" s="122">
        <v>0</v>
      </c>
      <c r="P28" s="122">
        <f t="shared" si="7"/>
        <v>0</v>
      </c>
      <c r="Q28" s="122">
        <f t="shared" si="8"/>
        <v>0</v>
      </c>
      <c r="R28" s="122">
        <f t="shared" si="9"/>
        <v>0</v>
      </c>
      <c r="S28" s="122">
        <f t="shared" si="10"/>
        <v>3.94</v>
      </c>
      <c r="T28" s="122">
        <v>0</v>
      </c>
      <c r="U28" s="122">
        <v>0</v>
      </c>
      <c r="V28" s="122">
        <f t="shared" ref="V28:W28" si="25">V29+V36+V37+V38+V43</f>
        <v>0</v>
      </c>
      <c r="W28" s="122">
        <f t="shared" si="25"/>
        <v>0</v>
      </c>
      <c r="X28" s="124">
        <v>0</v>
      </c>
      <c r="Y28" s="124">
        <v>0</v>
      </c>
      <c r="Z28" s="124">
        <v>0</v>
      </c>
      <c r="AA28" s="124">
        <f>ROUND(AA25*22%,2)</f>
        <v>3.94</v>
      </c>
    </row>
    <row r="29" spans="1:28" ht="30" customHeight="1" thickBot="1">
      <c r="A29" s="164"/>
      <c r="B29" s="48" t="s">
        <v>31</v>
      </c>
      <c r="C29" s="149"/>
      <c r="D29" s="123"/>
      <c r="E29" s="123"/>
      <c r="F29" s="123"/>
      <c r="G29" s="123"/>
      <c r="H29" s="51">
        <v>0</v>
      </c>
      <c r="I29" s="51">
        <v>0</v>
      </c>
      <c r="J29" s="51">
        <v>0</v>
      </c>
      <c r="K29" s="125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5"/>
      <c r="Y29" s="125"/>
      <c r="Z29" s="125"/>
      <c r="AA29" s="125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3.46</v>
      </c>
      <c r="H30" s="51">
        <v>0</v>
      </c>
      <c r="I30" s="51">
        <v>0</v>
      </c>
      <c r="J30" s="51">
        <v>0</v>
      </c>
      <c r="K30" s="68">
        <f>ROUND('[1]Витрати 20 -21'!$AE$11,2)</f>
        <v>2.85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0.61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20 -21'!$AF$11,2)</f>
        <v>0.61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19.72</v>
      </c>
      <c r="H31" s="51">
        <v>0</v>
      </c>
      <c r="I31" s="51">
        <v>0</v>
      </c>
      <c r="J31" s="51">
        <v>0</v>
      </c>
      <c r="K31" s="68">
        <f>ROUND('[1]Витрати 20 -21'!$AH$11,2)</f>
        <v>16.22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3.5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20 -21'!$AI$11,2)</f>
        <v>3.5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64.400000000000006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52.97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11.43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11.43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13.25</v>
      </c>
      <c r="H33" s="51">
        <v>0</v>
      </c>
      <c r="I33" s="51">
        <v>0</v>
      </c>
      <c r="J33" s="51">
        <v>0</v>
      </c>
      <c r="K33" s="68">
        <f>ROUND('[1]Витрати 20 -21'!$AN$11,2)</f>
        <v>10.9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2.35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20 -21'!$AO$11,2)</f>
        <v>2.35</v>
      </c>
    </row>
    <row r="34" spans="1:27" ht="20.25">
      <c r="A34" s="161" t="s">
        <v>123</v>
      </c>
      <c r="B34" s="46" t="s">
        <v>30</v>
      </c>
      <c r="C34" s="152" t="s">
        <v>21</v>
      </c>
      <c r="D34" s="122">
        <f t="shared" si="31"/>
        <v>0</v>
      </c>
      <c r="E34" s="122">
        <f t="shared" si="32"/>
        <v>0</v>
      </c>
      <c r="F34" s="122">
        <f t="shared" si="26"/>
        <v>0</v>
      </c>
      <c r="G34" s="122">
        <f>K34+O34+S34</f>
        <v>2.92</v>
      </c>
      <c r="H34" s="124">
        <v>0</v>
      </c>
      <c r="I34" s="124">
        <v>0</v>
      </c>
      <c r="J34" s="124">
        <v>0</v>
      </c>
      <c r="K34" s="167">
        <f>ROUND(K33*22%,2)</f>
        <v>2.4</v>
      </c>
      <c r="L34" s="122">
        <v>0</v>
      </c>
      <c r="M34" s="122">
        <v>0</v>
      </c>
      <c r="N34" s="122">
        <v>0</v>
      </c>
      <c r="O34" s="122">
        <v>0</v>
      </c>
      <c r="P34" s="122">
        <f t="shared" si="7"/>
        <v>0</v>
      </c>
      <c r="Q34" s="122">
        <f t="shared" si="8"/>
        <v>0</v>
      </c>
      <c r="R34" s="122">
        <f t="shared" si="9"/>
        <v>0</v>
      </c>
      <c r="S34" s="122">
        <f t="shared" si="10"/>
        <v>0.52</v>
      </c>
      <c r="T34" s="122">
        <v>0</v>
      </c>
      <c r="U34" s="122">
        <v>0</v>
      </c>
      <c r="V34" s="122">
        <f t="shared" ref="V34:W34" si="34">V35+V42+V43+V44+V49</f>
        <v>0</v>
      </c>
      <c r="W34" s="122">
        <f t="shared" si="34"/>
        <v>0</v>
      </c>
      <c r="X34" s="124">
        <v>0</v>
      </c>
      <c r="Y34" s="124">
        <v>0</v>
      </c>
      <c r="Z34" s="124">
        <v>0</v>
      </c>
      <c r="AA34" s="124">
        <f>ROUND(AA33*22%,2)</f>
        <v>0.52</v>
      </c>
    </row>
    <row r="35" spans="1:27" ht="21" thickBot="1">
      <c r="A35" s="162"/>
      <c r="B35" s="39" t="s">
        <v>31</v>
      </c>
      <c r="C35" s="153"/>
      <c r="D35" s="123"/>
      <c r="E35" s="123"/>
      <c r="F35" s="123"/>
      <c r="G35" s="123"/>
      <c r="H35" s="125"/>
      <c r="I35" s="125"/>
      <c r="J35" s="125"/>
      <c r="K35" s="168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5"/>
      <c r="Y35" s="125"/>
      <c r="Z35" s="125"/>
      <c r="AA35" s="125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48.230000000000004</v>
      </c>
      <c r="H36" s="51">
        <v>0</v>
      </c>
      <c r="I36" s="51">
        <v>0</v>
      </c>
      <c r="J36" s="51">
        <v>0</v>
      </c>
      <c r="K36" s="68">
        <f>ROUND('[1]Витрати 20 -21'!$AT$11,2)</f>
        <v>39.67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8.56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20 -21'!$AU$11,2)</f>
        <v>8.56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58.33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48.05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10.28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10.28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39.71</v>
      </c>
      <c r="H38" s="51">
        <v>0</v>
      </c>
      <c r="I38" s="51">
        <v>0</v>
      </c>
      <c r="J38" s="51">
        <v>0</v>
      </c>
      <c r="K38" s="68">
        <f>ROUND('[1]Витрати 20 -21'!$BC$11-'Додаток 3'!H25,2)</f>
        <v>32.71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7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20 -21'!$BD$11-'Додаток 3'!I25,2)</f>
        <v>7</v>
      </c>
    </row>
    <row r="39" spans="1:27" ht="18.75" customHeight="1">
      <c r="A39" s="165">
        <v>2.2000000000000002</v>
      </c>
      <c r="B39" s="46" t="s">
        <v>30</v>
      </c>
      <c r="C39" s="152" t="s">
        <v>21</v>
      </c>
      <c r="D39" s="122">
        <v>0</v>
      </c>
      <c r="E39" s="122">
        <v>0</v>
      </c>
      <c r="F39" s="122">
        <v>0</v>
      </c>
      <c r="G39" s="122">
        <f>K39+O39+S39</f>
        <v>8.74</v>
      </c>
      <c r="H39" s="124">
        <v>0</v>
      </c>
      <c r="I39" s="124">
        <v>0</v>
      </c>
      <c r="J39" s="124">
        <v>0</v>
      </c>
      <c r="K39" s="167">
        <f>ROUND(K38*22%,2)</f>
        <v>7.2</v>
      </c>
      <c r="L39" s="122">
        <v>0</v>
      </c>
      <c r="M39" s="122">
        <v>0</v>
      </c>
      <c r="N39" s="122">
        <v>0</v>
      </c>
      <c r="O39" s="122">
        <v>0</v>
      </c>
      <c r="P39" s="122">
        <f t="shared" si="7"/>
        <v>0</v>
      </c>
      <c r="Q39" s="122">
        <f t="shared" si="8"/>
        <v>0</v>
      </c>
      <c r="R39" s="122">
        <f t="shared" si="9"/>
        <v>0</v>
      </c>
      <c r="S39" s="122">
        <f t="shared" si="10"/>
        <v>1.54</v>
      </c>
      <c r="T39" s="122">
        <v>0</v>
      </c>
      <c r="U39" s="122">
        <v>0</v>
      </c>
      <c r="V39" s="122">
        <f t="shared" ref="V39:W39" si="39">V40+V47+V48+V49+V54</f>
        <v>0</v>
      </c>
      <c r="W39" s="122">
        <f t="shared" si="39"/>
        <v>0</v>
      </c>
      <c r="X39" s="124">
        <v>0</v>
      </c>
      <c r="Y39" s="124">
        <v>0</v>
      </c>
      <c r="Z39" s="124">
        <v>0</v>
      </c>
      <c r="AA39" s="124">
        <f>ROUND(AA38*22%,2)</f>
        <v>1.54</v>
      </c>
    </row>
    <row r="40" spans="1:27" ht="19.5" customHeight="1" thickBot="1">
      <c r="A40" s="166"/>
      <c r="B40" s="39" t="s">
        <v>31</v>
      </c>
      <c r="C40" s="153"/>
      <c r="D40" s="123"/>
      <c r="E40" s="123"/>
      <c r="F40" s="123"/>
      <c r="G40" s="123"/>
      <c r="H40" s="125"/>
      <c r="I40" s="125"/>
      <c r="J40" s="125"/>
      <c r="K40" s="168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5"/>
      <c r="Y40" s="125"/>
      <c r="Z40" s="125"/>
      <c r="AA40" s="125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9.8800000000000008</v>
      </c>
      <c r="H41" s="51">
        <v>0</v>
      </c>
      <c r="I41" s="51">
        <v>0</v>
      </c>
      <c r="J41" s="51">
        <v>0</v>
      </c>
      <c r="K41" s="68">
        <f>ROUND('[1]Витрати 20 -21'!$BI$11-'Додаток 3'!H27,2)</f>
        <v>8.14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1.74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20 -21'!$BJ$11-'Додаток 3'!I27,2)</f>
        <v>1.74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68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65">
        <v>3.2</v>
      </c>
      <c r="B44" s="46" t="s">
        <v>30</v>
      </c>
      <c r="C44" s="152" t="s">
        <v>21</v>
      </c>
      <c r="D44" s="122">
        <f t="shared" si="31"/>
        <v>0</v>
      </c>
      <c r="E44" s="122">
        <v>0</v>
      </c>
      <c r="F44" s="122">
        <v>0</v>
      </c>
      <c r="G44" s="122">
        <f>K44+O44+S44</f>
        <v>0</v>
      </c>
      <c r="H44" s="124">
        <v>0</v>
      </c>
      <c r="I44" s="124">
        <v>0</v>
      </c>
      <c r="J44" s="124">
        <v>0</v>
      </c>
      <c r="K44" s="141">
        <v>0</v>
      </c>
      <c r="L44" s="122">
        <v>0</v>
      </c>
      <c r="M44" s="122">
        <v>0</v>
      </c>
      <c r="N44" s="122">
        <v>0</v>
      </c>
      <c r="O44" s="122">
        <v>0</v>
      </c>
      <c r="P44" s="122">
        <f t="shared" si="7"/>
        <v>0</v>
      </c>
      <c r="Q44" s="122">
        <f t="shared" si="8"/>
        <v>0</v>
      </c>
      <c r="R44" s="122">
        <f t="shared" si="9"/>
        <v>0</v>
      </c>
      <c r="S44" s="122">
        <f t="shared" si="10"/>
        <v>0</v>
      </c>
      <c r="T44" s="122">
        <v>0</v>
      </c>
      <c r="U44" s="122">
        <v>0</v>
      </c>
      <c r="V44" s="122">
        <f t="shared" ref="V44:W44" si="44">V45+V52+V53+V54+V59</f>
        <v>0</v>
      </c>
      <c r="W44" s="122">
        <f t="shared" si="44"/>
        <v>0</v>
      </c>
      <c r="X44" s="124">
        <v>0</v>
      </c>
      <c r="Y44" s="124">
        <v>0</v>
      </c>
      <c r="Z44" s="124">
        <v>0</v>
      </c>
      <c r="AA44" s="124">
        <f>AA43*22%</f>
        <v>0</v>
      </c>
    </row>
    <row r="45" spans="1:27" ht="25.5" customHeight="1" thickBot="1">
      <c r="A45" s="166"/>
      <c r="B45" s="39" t="s">
        <v>31</v>
      </c>
      <c r="C45" s="153"/>
      <c r="D45" s="123"/>
      <c r="E45" s="123"/>
      <c r="F45" s="123"/>
      <c r="G45" s="123"/>
      <c r="H45" s="125"/>
      <c r="I45" s="125"/>
      <c r="J45" s="125"/>
      <c r="K45" s="142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5"/>
      <c r="Y45" s="125"/>
      <c r="Z45" s="125"/>
      <c r="AA45" s="125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68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908.40000000000009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747.45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160.95000000000002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160.94999999999999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50.089999999999996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41.21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8.8800000000000008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8.8800000000000008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9.02</v>
      </c>
      <c r="H52" s="75" t="s">
        <v>46</v>
      </c>
      <c r="I52" s="75" t="s">
        <v>46</v>
      </c>
      <c r="J52" s="51">
        <v>0</v>
      </c>
      <c r="K52" s="37">
        <f>ROUND(18%*(K53+K54+K55+K57)/82%,2)</f>
        <v>7.42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1.6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1.6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22.9</v>
      </c>
      <c r="H54" s="75" t="s">
        <v>46</v>
      </c>
      <c r="I54" s="75" t="s">
        <v>46</v>
      </c>
      <c r="J54" s="51">
        <v>0</v>
      </c>
      <c r="K54" s="68">
        <f>ROUND('[1]Витрати 20 -21'!$CJ$11-'Додаток 3'!H39,2)</f>
        <v>18.84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4.0599999999999996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20 -21'!$CK$11-'Додаток 3'!I39,2)</f>
        <v>4.0599999999999996</v>
      </c>
    </row>
    <row r="55" spans="1:28" ht="19.5" customHeight="1">
      <c r="A55" s="165">
        <v>8.4</v>
      </c>
      <c r="B55" s="46" t="s">
        <v>49</v>
      </c>
      <c r="C55" s="152" t="s">
        <v>21</v>
      </c>
      <c r="D55" s="144" t="s">
        <v>46</v>
      </c>
      <c r="E55" s="144" t="s">
        <v>46</v>
      </c>
      <c r="F55" s="124">
        <v>0</v>
      </c>
      <c r="G55" s="122">
        <f t="shared" si="46"/>
        <v>0</v>
      </c>
      <c r="H55" s="144" t="s">
        <v>46</v>
      </c>
      <c r="I55" s="144" t="s">
        <v>46</v>
      </c>
      <c r="J55" s="124">
        <v>0</v>
      </c>
      <c r="K55" s="141">
        <f>ROUND('[1]Витрати 20 -21'!$CG$11-'Додаток 3'!H40,2)</f>
        <v>0</v>
      </c>
      <c r="L55" s="169" t="s">
        <v>46</v>
      </c>
      <c r="M55" s="169" t="s">
        <v>46</v>
      </c>
      <c r="N55" s="122">
        <v>0</v>
      </c>
      <c r="O55" s="122">
        <v>0</v>
      </c>
      <c r="P55" s="171" t="s">
        <v>127</v>
      </c>
      <c r="Q55" s="144" t="s">
        <v>46</v>
      </c>
      <c r="R55" s="122">
        <f t="shared" si="9"/>
        <v>0</v>
      </c>
      <c r="S55" s="122">
        <f t="shared" si="10"/>
        <v>0</v>
      </c>
      <c r="T55" s="144" t="s">
        <v>46</v>
      </c>
      <c r="U55" s="144" t="s">
        <v>46</v>
      </c>
      <c r="V55" s="122">
        <v>0</v>
      </c>
      <c r="W55" s="122">
        <v>0</v>
      </c>
      <c r="X55" s="144" t="s">
        <v>46</v>
      </c>
      <c r="Y55" s="144" t="s">
        <v>46</v>
      </c>
      <c r="Z55" s="124">
        <v>0</v>
      </c>
      <c r="AA55" s="141">
        <f>ROUND('[1]Витрати 20 -21'!$CH$11-'Додаток 3'!I40,2)</f>
        <v>0</v>
      </c>
    </row>
    <row r="56" spans="1:28" ht="24" customHeight="1" thickBot="1">
      <c r="A56" s="166"/>
      <c r="B56" s="39" t="s">
        <v>50</v>
      </c>
      <c r="C56" s="153"/>
      <c r="D56" s="145"/>
      <c r="E56" s="145"/>
      <c r="F56" s="125"/>
      <c r="G56" s="123"/>
      <c r="H56" s="145"/>
      <c r="I56" s="145"/>
      <c r="J56" s="125"/>
      <c r="K56" s="142"/>
      <c r="L56" s="170"/>
      <c r="M56" s="170"/>
      <c r="N56" s="123"/>
      <c r="O56" s="123"/>
      <c r="P56" s="172"/>
      <c r="Q56" s="145"/>
      <c r="R56" s="123"/>
      <c r="S56" s="123"/>
      <c r="T56" s="145"/>
      <c r="U56" s="145"/>
      <c r="V56" s="123"/>
      <c r="W56" s="123"/>
      <c r="X56" s="145"/>
      <c r="Y56" s="145"/>
      <c r="Z56" s="125"/>
      <c r="AA56" s="142"/>
    </row>
    <row r="57" spans="1:28" ht="29.25" customHeight="1" thickBot="1">
      <c r="A57" s="15">
        <v>8.5</v>
      </c>
      <c r="B57" s="39" t="s">
        <v>134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18.169999999999998</v>
      </c>
      <c r="H57" s="75" t="s">
        <v>46</v>
      </c>
      <c r="I57" s="75" t="s">
        <v>46</v>
      </c>
      <c r="J57" s="51">
        <v>0</v>
      </c>
      <c r="K57" s="37">
        <f>ROUND(K49*2%,2)</f>
        <v>14.95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3.22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3.22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958.49000000000012</v>
      </c>
      <c r="H58" s="51">
        <v>0</v>
      </c>
      <c r="I58" s="51">
        <v>0</v>
      </c>
      <c r="J58" s="51">
        <v>0</v>
      </c>
      <c r="K58" s="51">
        <f>ROUND(K49+K51,2)</f>
        <v>788.66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169.83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169.83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1786.2946811286299</v>
      </c>
      <c r="H59" s="51">
        <v>0</v>
      </c>
      <c r="I59" s="51">
        <v>0</v>
      </c>
      <c r="J59" s="51">
        <v>0</v>
      </c>
      <c r="K59" s="51">
        <f>ROUND(K58/K62*1000,2)</f>
        <v>1787.02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1782.9500000000003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1782.95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1111.0552014611058</v>
      </c>
      <c r="H60" s="51">
        <v>0</v>
      </c>
      <c r="I60" s="51">
        <v>0</v>
      </c>
      <c r="J60" s="51">
        <v>0</v>
      </c>
      <c r="K60" s="51">
        <f>ROUND(K19/K62*1000,2)</f>
        <v>1111.1500000000001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1110.6300000000001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1110.6300000000001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675.23947966752417</v>
      </c>
      <c r="H61" s="51">
        <v>0</v>
      </c>
      <c r="I61" s="51">
        <v>0</v>
      </c>
      <c r="J61" s="51">
        <v>0</v>
      </c>
      <c r="K61" s="51">
        <f>ROUND(K59-K60,2)</f>
        <v>675.87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672.32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672.32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536.57999999999993</v>
      </c>
      <c r="H62" s="51">
        <v>0</v>
      </c>
      <c r="I62" s="51">
        <v>0</v>
      </c>
      <c r="J62" s="51">
        <v>0</v>
      </c>
      <c r="K62" s="83">
        <f>ROUND('[1]Витрати 20 -21'!$C$11,3)</f>
        <v>441.32799999999997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95.251999999999995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20 -21'!$D$11,3)</f>
        <v>95.251999999999995</v>
      </c>
    </row>
    <row r="63" spans="1:28" ht="20.25">
      <c r="A63" s="165">
        <v>12</v>
      </c>
      <c r="B63" s="46" t="s">
        <v>58</v>
      </c>
      <c r="C63" s="152" t="s">
        <v>57</v>
      </c>
      <c r="D63" s="124">
        <v>0</v>
      </c>
      <c r="E63" s="124">
        <v>0</v>
      </c>
      <c r="F63" s="124">
        <v>0</v>
      </c>
      <c r="G63" s="124">
        <f t="shared" si="46"/>
        <v>0</v>
      </c>
      <c r="H63" s="124">
        <v>0</v>
      </c>
      <c r="I63" s="124">
        <v>0</v>
      </c>
      <c r="J63" s="124">
        <v>0</v>
      </c>
      <c r="K63" s="124">
        <v>0</v>
      </c>
      <c r="L63" s="122">
        <v>0</v>
      </c>
      <c r="M63" s="122">
        <v>0</v>
      </c>
      <c r="N63" s="122">
        <v>0</v>
      </c>
      <c r="O63" s="122">
        <v>0</v>
      </c>
      <c r="P63" s="122">
        <f>T63+X63</f>
        <v>0</v>
      </c>
      <c r="Q63" s="122">
        <f>U63+Y63</f>
        <v>0</v>
      </c>
      <c r="R63" s="122">
        <f t="shared" si="9"/>
        <v>0</v>
      </c>
      <c r="S63" s="122">
        <f t="shared" si="10"/>
        <v>0</v>
      </c>
      <c r="T63" s="122">
        <v>0</v>
      </c>
      <c r="U63" s="122">
        <v>0</v>
      </c>
      <c r="V63" s="122">
        <v>0</v>
      </c>
      <c r="W63" s="122">
        <v>0</v>
      </c>
      <c r="X63" s="124">
        <v>0</v>
      </c>
      <c r="Y63" s="124">
        <v>0</v>
      </c>
      <c r="Z63" s="124">
        <v>0</v>
      </c>
      <c r="AA63" s="124">
        <v>0</v>
      </c>
    </row>
    <row r="64" spans="1:28" ht="30" customHeight="1" thickBot="1">
      <c r="A64" s="166"/>
      <c r="B64" s="39" t="s">
        <v>59</v>
      </c>
      <c r="C64" s="153"/>
      <c r="D64" s="125"/>
      <c r="E64" s="125"/>
      <c r="F64" s="125"/>
      <c r="G64" s="125"/>
      <c r="H64" s="125"/>
      <c r="I64" s="125"/>
      <c r="J64" s="125"/>
      <c r="K64" s="125"/>
      <c r="L64" s="123"/>
      <c r="M64" s="123"/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5"/>
      <c r="Y64" s="125"/>
      <c r="Z64" s="125"/>
      <c r="AA64" s="125"/>
    </row>
    <row r="65" spans="1:28" ht="24.75" customHeight="1">
      <c r="A65" s="165">
        <v>13</v>
      </c>
      <c r="B65" s="46" t="s">
        <v>60</v>
      </c>
      <c r="C65" s="152" t="s">
        <v>53</v>
      </c>
      <c r="D65" s="124">
        <v>0</v>
      </c>
      <c r="E65" s="124">
        <v>0</v>
      </c>
      <c r="F65" s="124">
        <v>0</v>
      </c>
      <c r="G65" s="124">
        <f t="shared" si="46"/>
        <v>0</v>
      </c>
      <c r="H65" s="124">
        <v>0</v>
      </c>
      <c r="I65" s="124">
        <v>0</v>
      </c>
      <c r="J65" s="124">
        <v>0</v>
      </c>
      <c r="K65" s="124">
        <v>0</v>
      </c>
      <c r="L65" s="122">
        <v>0</v>
      </c>
      <c r="M65" s="122">
        <v>0</v>
      </c>
      <c r="N65" s="122">
        <v>0</v>
      </c>
      <c r="O65" s="122">
        <v>0</v>
      </c>
      <c r="P65" s="122">
        <f>T65+X65</f>
        <v>0</v>
      </c>
      <c r="Q65" s="122">
        <f t="shared" ref="Q65" si="56">U65+Y65</f>
        <v>0</v>
      </c>
      <c r="R65" s="122">
        <f t="shared" ref="R65" si="57">V65+Z65</f>
        <v>0</v>
      </c>
      <c r="S65" s="122">
        <v>0</v>
      </c>
      <c r="T65" s="122">
        <v>0</v>
      </c>
      <c r="U65" s="122">
        <v>0</v>
      </c>
      <c r="V65" s="122">
        <v>0</v>
      </c>
      <c r="W65" s="122">
        <v>0</v>
      </c>
      <c r="X65" s="124">
        <v>0</v>
      </c>
      <c r="Y65" s="124">
        <v>0</v>
      </c>
      <c r="Z65" s="124">
        <v>0</v>
      </c>
      <c r="AA65" s="124">
        <v>0</v>
      </c>
    </row>
    <row r="66" spans="1:28" ht="29.25" customHeight="1" thickBot="1">
      <c r="A66" s="166"/>
      <c r="B66" s="39" t="s">
        <v>59</v>
      </c>
      <c r="C66" s="153"/>
      <c r="D66" s="125"/>
      <c r="E66" s="125"/>
      <c r="F66" s="125"/>
      <c r="G66" s="125"/>
      <c r="H66" s="125"/>
      <c r="I66" s="125"/>
      <c r="J66" s="125"/>
      <c r="K66" s="125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5"/>
      <c r="Y66" s="125"/>
      <c r="Z66" s="125"/>
      <c r="AA66" s="125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536.57999999999993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441.32799999999997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95.251999999999995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95.251999999999995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1692.9442021692948</v>
      </c>
      <c r="H68" s="51">
        <v>0</v>
      </c>
      <c r="I68" s="51">
        <v>0</v>
      </c>
      <c r="J68" s="51">
        <v>0</v>
      </c>
      <c r="K68" s="51">
        <f>ROUND(K49/K67*1000,2)</f>
        <v>1693.64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1689.73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1689.73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75"/>
      <c r="C74" s="17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74"/>
      <c r="W74" s="174"/>
      <c r="X74" s="174"/>
      <c r="Y74" s="174"/>
      <c r="Z74" s="174"/>
      <c r="AA74" s="21"/>
      <c r="AB74" s="21"/>
    </row>
    <row r="75" spans="1:28" s="59" customFormat="1" ht="18.75" customHeight="1">
      <c r="A75" s="238"/>
      <c r="B75" s="239" t="s">
        <v>147</v>
      </c>
      <c r="C75" s="240"/>
      <c r="D75" s="241"/>
      <c r="E75" s="241"/>
      <c r="F75" s="241"/>
      <c r="G75" s="241"/>
      <c r="H75" s="241"/>
      <c r="I75" s="241"/>
      <c r="J75" s="241"/>
      <c r="K75" s="241"/>
      <c r="L75" s="241"/>
      <c r="M75" s="241"/>
      <c r="N75" s="241"/>
      <c r="O75" s="241"/>
      <c r="P75" s="241"/>
      <c r="Q75" s="241"/>
      <c r="R75" s="241"/>
      <c r="S75" s="241"/>
      <c r="T75" s="241"/>
      <c r="U75" s="241"/>
      <c r="V75" s="241"/>
      <c r="W75" s="241" t="s">
        <v>148</v>
      </c>
      <c r="X75" s="241"/>
      <c r="Y75" s="241"/>
      <c r="Z75" s="241"/>
      <c r="AA75" s="241"/>
      <c r="AB75" s="241"/>
    </row>
    <row r="76" spans="1:28" ht="25.5" customHeight="1">
      <c r="A76" s="173"/>
      <c r="B76" s="173"/>
      <c r="C76" s="173"/>
      <c r="D76" s="17"/>
      <c r="E76" s="17"/>
      <c r="F76" s="17"/>
      <c r="G76" s="17"/>
      <c r="H76" s="17"/>
      <c r="I76" s="173" t="s">
        <v>64</v>
      </c>
      <c r="J76" s="173"/>
      <c r="K76" s="173"/>
      <c r="L76" s="173"/>
      <c r="M76" s="173"/>
      <c r="N76" s="17"/>
      <c r="O76" s="17"/>
      <c r="P76" s="17"/>
      <c r="Q76" s="17"/>
      <c r="R76" s="17"/>
      <c r="S76" s="17"/>
      <c r="T76" s="17"/>
      <c r="U76" s="17"/>
      <c r="V76" s="173" t="s">
        <v>65</v>
      </c>
      <c r="W76" s="173"/>
      <c r="X76" s="173"/>
      <c r="Y76" s="173"/>
      <c r="Z76" s="173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I51" sqref="I51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242" t="s">
        <v>150</v>
      </c>
      <c r="B3" s="242"/>
      <c r="C3" s="242"/>
      <c r="D3" s="242"/>
      <c r="E3" s="242"/>
      <c r="F3" s="242"/>
      <c r="G3" s="242"/>
    </row>
    <row r="4" spans="1:9" ht="21" customHeight="1">
      <c r="A4" s="242" t="s">
        <v>149</v>
      </c>
      <c r="B4" s="242"/>
      <c r="C4" s="242"/>
      <c r="D4" s="242"/>
      <c r="E4" s="242"/>
      <c r="F4" s="242"/>
      <c r="G4" s="242"/>
    </row>
    <row r="5" spans="1:9" ht="21" customHeight="1">
      <c r="A5" s="242" t="s">
        <v>151</v>
      </c>
      <c r="B5" s="242"/>
      <c r="C5" s="242"/>
      <c r="D5" s="242"/>
      <c r="E5" s="242"/>
      <c r="F5" s="242"/>
      <c r="G5" s="242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0"/>
      <c r="B7" s="180"/>
      <c r="C7" s="180"/>
      <c r="D7" s="180"/>
      <c r="E7" s="180"/>
      <c r="F7" s="180"/>
      <c r="G7" s="180"/>
    </row>
    <row r="8" spans="1:9" ht="18.75" customHeight="1">
      <c r="A8" s="180" t="s">
        <v>140</v>
      </c>
      <c r="B8" s="180"/>
      <c r="C8" s="180"/>
      <c r="D8" s="180"/>
      <c r="E8" s="180"/>
      <c r="F8" s="180"/>
      <c r="G8" s="180"/>
    </row>
    <row r="9" spans="1:9" ht="24" thickBot="1">
      <c r="A9" s="59"/>
      <c r="B9" s="181" t="s">
        <v>144</v>
      </c>
      <c r="C9" s="181"/>
      <c r="D9" s="182"/>
      <c r="E9" s="182"/>
      <c r="F9" s="182"/>
      <c r="G9" s="60" t="s">
        <v>86</v>
      </c>
    </row>
    <row r="10" spans="1:9" ht="24" thickBot="1">
      <c r="A10" s="61"/>
      <c r="B10" s="62"/>
      <c r="C10" s="107"/>
      <c r="D10" s="183" t="s">
        <v>69</v>
      </c>
      <c r="E10" s="184"/>
      <c r="F10" s="184"/>
      <c r="G10" s="184"/>
      <c r="H10" s="185"/>
      <c r="I10" s="186"/>
    </row>
    <row r="11" spans="1:9" ht="96" customHeight="1" thickBot="1">
      <c r="A11" s="113" t="s">
        <v>68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135</v>
      </c>
      <c r="H11" s="118" t="s">
        <v>136</v>
      </c>
      <c r="I11" s="119" t="s">
        <v>137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1.9500000000000002</v>
      </c>
      <c r="H24" s="88">
        <f>ROUND(H25+H26+H27,2)</f>
        <v>1.61</v>
      </c>
      <c r="I24" s="88">
        <f>ROUND(I25+I26+I27,2)</f>
        <v>0.34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1.33</v>
      </c>
      <c r="H25" s="89">
        <f>ROUND('[1]Витрати 20 -21'!$BC$11*'[1]Витрати 20 -21'!$BL$28%,2)</f>
        <v>1.1000000000000001</v>
      </c>
      <c r="I25" s="89">
        <f>ROUND('[1]Витрати 20 -21'!$BD$11*'[1]Витрати 20 -21'!$BM$28%,2)</f>
        <v>0.23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0.28999999999999998</v>
      </c>
      <c r="H26" s="88">
        <f>ROUND(H25*22%,2)</f>
        <v>0.24</v>
      </c>
      <c r="I26" s="88">
        <f>ROUND(I25*22%,2)</f>
        <v>0.05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0.33</v>
      </c>
      <c r="H27" s="89">
        <f>ROUND('[1]Витрати 20 -21'!$BI$11*'[1]Витрати 20 -21'!$BL$28%,2)</f>
        <v>0.27</v>
      </c>
      <c r="I27" s="93">
        <f>ROUND('[1]Витрати 20 -21'!$BJ$11*'[1]Витрати 20 -21'!$BM$28%,2)</f>
        <v>0.06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27.97</v>
      </c>
      <c r="H28" s="88">
        <f>ROUND(H29+H30+H31,2)</f>
        <v>23</v>
      </c>
      <c r="I28" s="88">
        <f>ROUND(I29+I30+I31,2)</f>
        <v>4.97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21.459999999999997</v>
      </c>
      <c r="H29" s="89">
        <f>ROUND('[1]Витрати 20 -21'!$BO$11,2)</f>
        <v>17.649999999999999</v>
      </c>
      <c r="I29" s="89">
        <f>ROUND('[1]Витрати 20 -21'!$BP$11,2)</f>
        <v>3.81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4.72</v>
      </c>
      <c r="H30" s="88">
        <f>ROUND(H29*22%,2)</f>
        <v>3.88</v>
      </c>
      <c r="I30" s="88">
        <f>ROUND(I29*22%,2)</f>
        <v>0.84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1.79</v>
      </c>
      <c r="H31" s="89">
        <f>ROUND('[1]Витрати 20 -21'!$BU$11,2)</f>
        <v>1.47</v>
      </c>
      <c r="I31" s="89">
        <f>ROUND('[1]Витрати 20 -21'!$BV$11,2)</f>
        <v>0.32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29.919999999999998</v>
      </c>
      <c r="H34" s="88">
        <f>ROUND(H13+H24+H28+H32+H33,2)</f>
        <v>24.61</v>
      </c>
      <c r="I34" s="88">
        <f>ROUND(I13+I24+I28+I32+I33,2)</f>
        <v>5.31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1.6700000000000002</v>
      </c>
      <c r="H36" s="88">
        <f>ROUND(H37+H38+H39+H40+H41,2)</f>
        <v>1.37</v>
      </c>
      <c r="I36" s="88">
        <f>ROUND(I37+I38+I39+I40+I41,2)</f>
        <v>0.3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0.3</v>
      </c>
      <c r="H37" s="91">
        <f>ROUND(18%*(H38+H39+H40+H41)/82%,2)</f>
        <v>0.25</v>
      </c>
      <c r="I37" s="91">
        <f>ROUND(18%*(I38+I39+I40+I41)/82%,2)</f>
        <v>0.05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0.77</v>
      </c>
      <c r="H39" s="89">
        <f>ROUND('[1]Витрати 20 -21'!$CJ$11*'[1]Витрати 20 -21'!$BL$28%,2)</f>
        <v>0.63</v>
      </c>
      <c r="I39" s="89">
        <f>ROUND('[1]Витрати 20 -21'!$CK$11*'[1]Витрати 20 -21'!$BM$28%,2)</f>
        <v>0.14000000000000001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89">
        <f>ROUND('[1]Витрати 20 -21'!$CG$11*'[1]Витрати 20 -21'!$BL$28%,2)</f>
        <v>0</v>
      </c>
      <c r="I40" s="89">
        <f>ROUND('[1]Витрати 20 -21'!$CH$11*'[1]Витрати 20 -21'!$BM$28%,2)</f>
        <v>0</v>
      </c>
    </row>
    <row r="41" spans="1:9" ht="46.5" customHeight="1" thickBot="1">
      <c r="A41" s="6">
        <v>8.5</v>
      </c>
      <c r="B41" s="39" t="s">
        <v>134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0.6</v>
      </c>
      <c r="H41" s="88">
        <f>ROUND(H34*2%,2)</f>
        <v>0.49</v>
      </c>
      <c r="I41" s="88">
        <f>ROUND(I34*2%,2)</f>
        <v>0.11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31.59</v>
      </c>
      <c r="H42" s="88">
        <f>ROUND(H34+H36,2)</f>
        <v>25.98</v>
      </c>
      <c r="I42" s="88">
        <f>ROUND(I34+I36,2)</f>
        <v>5.61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58.872861455887289</v>
      </c>
      <c r="H43" s="88">
        <f>ROUND(H42/H44*1000,2)</f>
        <v>58.87</v>
      </c>
      <c r="I43" s="88">
        <f>ROUND(I42/I44*1000,2)</f>
        <v>58.9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536.57999999999993</v>
      </c>
      <c r="H44" s="96">
        <f>ROUND('Додаток 1'!K67,3)</f>
        <v>441.32799999999997</v>
      </c>
      <c r="I44" s="96">
        <f>ROUND('Додаток 1'!AA67,3)</f>
        <v>95.251999999999995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441.33</v>
      </c>
      <c r="H45" s="88">
        <f>ROUND(H44,2)</f>
        <v>441.33</v>
      </c>
      <c r="I45" s="88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95.251999999999995</v>
      </c>
      <c r="H48" s="88">
        <v>0</v>
      </c>
      <c r="I48" s="95">
        <f>I44</f>
        <v>95.251999999999995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243"/>
      <c r="B52" s="241" t="s">
        <v>147</v>
      </c>
      <c r="C52" s="241"/>
      <c r="D52" s="241"/>
      <c r="E52" s="241"/>
      <c r="F52" s="244" t="s">
        <v>148</v>
      </c>
      <c r="G52" s="244"/>
      <c r="J52" s="101"/>
    </row>
    <row r="53" spans="1:10" ht="25.5" customHeight="1">
      <c r="A53" s="173"/>
      <c r="B53" s="173"/>
      <c r="C53" s="17"/>
      <c r="D53" s="29" t="s">
        <v>64</v>
      </c>
      <c r="E53" s="17"/>
      <c r="F53" s="173" t="s">
        <v>65</v>
      </c>
      <c r="G53" s="173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51"/>
  <sheetViews>
    <sheetView view="pageBreakPreview" zoomScale="60" workbookViewId="0">
      <selection activeCell="M8" sqref="M8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131</v>
      </c>
      <c r="G2" s="11"/>
      <c r="H2" s="242" t="s">
        <v>132</v>
      </c>
      <c r="I2" s="121"/>
      <c r="J2" s="239"/>
      <c r="K2" s="239"/>
    </row>
    <row r="3" spans="1:12" ht="21.75" customHeight="1">
      <c r="A3" s="99" t="s">
        <v>87</v>
      </c>
      <c r="B3" s="12"/>
      <c r="C3" s="12"/>
      <c r="D3" s="12"/>
      <c r="E3" s="12"/>
      <c r="F3" s="12"/>
      <c r="G3" s="12"/>
      <c r="H3" s="245" t="s">
        <v>152</v>
      </c>
      <c r="I3" s="121"/>
      <c r="J3" s="121"/>
      <c r="K3" s="121"/>
    </row>
    <row r="4" spans="1:12" ht="23.25" customHeight="1">
      <c r="A4" s="98" t="s">
        <v>133</v>
      </c>
      <c r="G4" s="11"/>
      <c r="H4" s="242" t="s">
        <v>153</v>
      </c>
      <c r="I4" s="121"/>
      <c r="J4" s="121"/>
      <c r="K4" s="121"/>
    </row>
    <row r="5" spans="1:12">
      <c r="A5" s="100"/>
    </row>
    <row r="6" spans="1:12" ht="25.5" customHeight="1">
      <c r="A6" s="180" t="s">
        <v>141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</row>
    <row r="7" spans="1:12" ht="25.5" customHeight="1">
      <c r="A7" s="180" t="s">
        <v>142</v>
      </c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2" ht="24" thickBot="1">
      <c r="A8" s="101"/>
      <c r="B8" s="59"/>
      <c r="C8" s="59"/>
      <c r="D8" s="63" t="s">
        <v>143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27" t="s">
        <v>68</v>
      </c>
      <c r="C9" s="227" t="s">
        <v>88</v>
      </c>
      <c r="D9" s="229" t="s">
        <v>5</v>
      </c>
      <c r="E9" s="230"/>
      <c r="F9" s="227" t="s">
        <v>6</v>
      </c>
      <c r="G9" s="233" t="s">
        <v>89</v>
      </c>
      <c r="H9" s="234"/>
      <c r="I9" s="234"/>
      <c r="J9" s="234"/>
      <c r="K9" s="235"/>
      <c r="L9" s="5"/>
    </row>
    <row r="10" spans="1:12" ht="58.5" customHeight="1" thickBot="1">
      <c r="A10" s="102"/>
      <c r="B10" s="228"/>
      <c r="C10" s="228"/>
      <c r="D10" s="231"/>
      <c r="E10" s="232"/>
      <c r="F10" s="228"/>
      <c r="G10" s="233" t="s">
        <v>81</v>
      </c>
      <c r="H10" s="235"/>
      <c r="I10" s="116" t="s">
        <v>82</v>
      </c>
      <c r="J10" s="116" t="s">
        <v>90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25">
        <v>3</v>
      </c>
      <c r="E11" s="226"/>
      <c r="F11" s="16">
        <v>4</v>
      </c>
      <c r="G11" s="225">
        <v>5</v>
      </c>
      <c r="H11" s="226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91</v>
      </c>
      <c r="D12" s="219" t="s">
        <v>53</v>
      </c>
      <c r="E12" s="220"/>
      <c r="F12" s="66">
        <f>ROUND('Додаток 1'!G59,2)</f>
        <v>1786.29</v>
      </c>
      <c r="G12" s="221">
        <f>ROUND('Додаток 1'!K59,2)</f>
        <v>1787.02</v>
      </c>
      <c r="H12" s="222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1782.95</v>
      </c>
      <c r="L12" s="72"/>
    </row>
    <row r="13" spans="1:12" ht="44.25" customHeight="1" thickBot="1">
      <c r="A13" s="102"/>
      <c r="B13" s="15">
        <v>1.1000000000000001</v>
      </c>
      <c r="C13" s="39" t="s">
        <v>92</v>
      </c>
      <c r="D13" s="187" t="s">
        <v>53</v>
      </c>
      <c r="E13" s="188"/>
      <c r="F13" s="51">
        <f>('Додаток 1'!G49)/F37*1000</f>
        <v>1692.9442021692948</v>
      </c>
      <c r="G13" s="223">
        <f>('Додаток 1'!K49)/G37*1000</f>
        <v>1693.6382917014105</v>
      </c>
      <c r="H13" s="224"/>
      <c r="I13" s="51">
        <v>0</v>
      </c>
      <c r="J13" s="51">
        <v>0</v>
      </c>
      <c r="K13" s="53">
        <f>('Додаток 1'!AA49)/K37*1000</f>
        <v>1689.7282996682484</v>
      </c>
      <c r="L13" s="5"/>
    </row>
    <row r="14" spans="1:12" ht="39" customHeight="1" thickBot="1">
      <c r="A14" s="102"/>
      <c r="B14" s="15">
        <v>1.2</v>
      </c>
      <c r="C14" s="39" t="s">
        <v>93</v>
      </c>
      <c r="D14" s="187" t="s">
        <v>21</v>
      </c>
      <c r="E14" s="188"/>
      <c r="F14" s="37">
        <v>0</v>
      </c>
      <c r="G14" s="211">
        <v>0</v>
      </c>
      <c r="H14" s="212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94</v>
      </c>
      <c r="D15" s="187" t="s">
        <v>53</v>
      </c>
      <c r="E15" s="188"/>
      <c r="F15" s="51">
        <f>F12-F13</f>
        <v>93.345797830705123</v>
      </c>
      <c r="G15" s="217">
        <f>G12-G13</f>
        <v>93.381708298589501</v>
      </c>
      <c r="H15" s="218"/>
      <c r="I15" s="51">
        <v>0</v>
      </c>
      <c r="J15" s="51">
        <v>0</v>
      </c>
      <c r="K15" s="51">
        <f>K12-K13</f>
        <v>93.221700331751663</v>
      </c>
      <c r="L15" s="77"/>
    </row>
    <row r="16" spans="1:12" s="67" customFormat="1" ht="47.25" customHeight="1" thickBot="1">
      <c r="A16" s="102"/>
      <c r="B16" s="70">
        <v>2</v>
      </c>
      <c r="C16" s="71" t="s">
        <v>95</v>
      </c>
      <c r="D16" s="219" t="s">
        <v>53</v>
      </c>
      <c r="E16" s="220"/>
      <c r="F16" s="66">
        <f>F17+F18+F19</f>
        <v>0</v>
      </c>
      <c r="G16" s="221">
        <f t="shared" ref="G16:K16" si="1">G17+G18+G19</f>
        <v>0</v>
      </c>
      <c r="H16" s="222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96</v>
      </c>
      <c r="D17" s="187" t="s">
        <v>53</v>
      </c>
      <c r="E17" s="188"/>
      <c r="F17" s="37">
        <f>G17+I17+J17+K17</f>
        <v>0</v>
      </c>
      <c r="G17" s="211">
        <v>0</v>
      </c>
      <c r="H17" s="212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93</v>
      </c>
      <c r="D18" s="187" t="s">
        <v>21</v>
      </c>
      <c r="E18" s="188"/>
      <c r="F18" s="37">
        <f>G18+I18+J18+K18</f>
        <v>0</v>
      </c>
      <c r="G18" s="211">
        <v>0</v>
      </c>
      <c r="H18" s="212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94</v>
      </c>
      <c r="D19" s="187" t="s">
        <v>53</v>
      </c>
      <c r="E19" s="188"/>
      <c r="F19" s="37">
        <f>G19+I19+J19+K19</f>
        <v>0</v>
      </c>
      <c r="G19" s="211">
        <v>0</v>
      </c>
      <c r="H19" s="212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97</v>
      </c>
      <c r="D20" s="219" t="s">
        <v>53</v>
      </c>
      <c r="E20" s="220"/>
      <c r="F20" s="66">
        <f>ROUND('Додаток 3'!G43,2)</f>
        <v>58.87</v>
      </c>
      <c r="G20" s="221">
        <f>ROUND('Додаток 3'!H43,2)</f>
        <v>58.87</v>
      </c>
      <c r="H20" s="222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58.9</v>
      </c>
      <c r="L20" s="5"/>
    </row>
    <row r="21" spans="1:12" ht="45" customHeight="1" thickBot="1">
      <c r="A21" s="102"/>
      <c r="B21" s="15">
        <v>3.1</v>
      </c>
      <c r="C21" s="39" t="s">
        <v>98</v>
      </c>
      <c r="D21" s="187" t="s">
        <v>53</v>
      </c>
      <c r="E21" s="188"/>
      <c r="F21" s="51">
        <f>('Додаток 3'!G34)/F37*1000</f>
        <v>55.760557605576054</v>
      </c>
      <c r="G21" s="223">
        <f>('Додаток 3'!H34)/G37*1000</f>
        <v>55.763513758474424</v>
      </c>
      <c r="H21" s="224"/>
      <c r="I21" s="51">
        <v>0</v>
      </c>
      <c r="J21" s="51">
        <v>0</v>
      </c>
      <c r="K21" s="51">
        <f>('Додаток 3'!I34)/K37*1000</f>
        <v>55.74686095830009</v>
      </c>
      <c r="L21" s="5"/>
    </row>
    <row r="22" spans="1:12" ht="33" customHeight="1" thickBot="1">
      <c r="A22" s="102"/>
      <c r="B22" s="15">
        <v>3.2</v>
      </c>
      <c r="C22" s="39" t="s">
        <v>93</v>
      </c>
      <c r="D22" s="187" t="s">
        <v>21</v>
      </c>
      <c r="E22" s="188"/>
      <c r="F22" s="37">
        <f t="shared" ref="F22:F26" si="3">G22+I22+J22+K22</f>
        <v>0</v>
      </c>
      <c r="G22" s="211">
        <v>0</v>
      </c>
      <c r="H22" s="212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94</v>
      </c>
      <c r="D23" s="187" t="s">
        <v>53</v>
      </c>
      <c r="E23" s="188"/>
      <c r="F23" s="51">
        <f>F20-F21</f>
        <v>3.1094423944239438</v>
      </c>
      <c r="G23" s="217">
        <f>G20-G21</f>
        <v>3.1064862415255732</v>
      </c>
      <c r="H23" s="218"/>
      <c r="I23" s="51">
        <v>0</v>
      </c>
      <c r="J23" s="51">
        <v>0</v>
      </c>
      <c r="K23" s="51">
        <f>K20-K21</f>
        <v>3.1531390416999088</v>
      </c>
      <c r="L23" s="5"/>
    </row>
    <row r="24" spans="1:12" s="67" customFormat="1" ht="40.5" customHeight="1" thickBot="1">
      <c r="A24" s="102"/>
      <c r="B24" s="70">
        <v>4</v>
      </c>
      <c r="C24" s="71" t="s">
        <v>99</v>
      </c>
      <c r="D24" s="219" t="s">
        <v>53</v>
      </c>
      <c r="E24" s="220"/>
      <c r="F24" s="66">
        <f>F12+F16+F20</f>
        <v>1845.1599999999999</v>
      </c>
      <c r="G24" s="221">
        <f>G12+G16+G20</f>
        <v>1845.8899999999999</v>
      </c>
      <c r="H24" s="222"/>
      <c r="I24" s="66">
        <f t="shared" ref="I24:J24" si="4">I12+I20</f>
        <v>0</v>
      </c>
      <c r="J24" s="66">
        <f t="shared" si="4"/>
        <v>0</v>
      </c>
      <c r="K24" s="66">
        <f>K12+K16+K20</f>
        <v>1841.8500000000001</v>
      </c>
      <c r="L24" s="78"/>
    </row>
    <row r="25" spans="1:12" ht="39" customHeight="1" thickBot="1">
      <c r="A25" s="102"/>
      <c r="B25" s="15">
        <v>4.0999999999999996</v>
      </c>
      <c r="C25" s="39" t="s">
        <v>100</v>
      </c>
      <c r="D25" s="187" t="s">
        <v>53</v>
      </c>
      <c r="E25" s="188"/>
      <c r="F25" s="37">
        <f>F13+F17+F21</f>
        <v>1748.7047597748708</v>
      </c>
      <c r="G25" s="205">
        <f>G13+G17+G21</f>
        <v>1749.4018054598848</v>
      </c>
      <c r="H25" s="206"/>
      <c r="I25" s="37">
        <f t="shared" ref="I25:K25" si="5">I13+I17+I21</f>
        <v>0</v>
      </c>
      <c r="J25" s="37">
        <f t="shared" si="5"/>
        <v>0</v>
      </c>
      <c r="K25" s="37">
        <f t="shared" si="5"/>
        <v>1745.4751606265486</v>
      </c>
      <c r="L25" s="77"/>
    </row>
    <row r="26" spans="1:12" ht="40.5" customHeight="1" thickBot="1">
      <c r="A26" s="102"/>
      <c r="B26" s="15">
        <v>4.2</v>
      </c>
      <c r="C26" s="39" t="s">
        <v>93</v>
      </c>
      <c r="D26" s="187" t="s">
        <v>21</v>
      </c>
      <c r="E26" s="188"/>
      <c r="F26" s="37">
        <f t="shared" si="3"/>
        <v>0</v>
      </c>
      <c r="G26" s="211">
        <f>G14+G18+G22</f>
        <v>0</v>
      </c>
      <c r="H26" s="212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94</v>
      </c>
      <c r="D27" s="187" t="s">
        <v>53</v>
      </c>
      <c r="E27" s="188"/>
      <c r="F27" s="37">
        <f>F15+F19+F23</f>
        <v>96.455240225129074</v>
      </c>
      <c r="G27" s="205">
        <f>G15+G19+G23</f>
        <v>96.488194540115074</v>
      </c>
      <c r="H27" s="206"/>
      <c r="I27" s="37">
        <v>0</v>
      </c>
      <c r="J27" s="37">
        <f t="shared" ref="J27" si="6">J24-J25-J26</f>
        <v>0</v>
      </c>
      <c r="K27" s="37">
        <f>K15+K19+K23</f>
        <v>96.374839373451579</v>
      </c>
      <c r="L27" s="5"/>
    </row>
    <row r="28" spans="1:12" ht="83.25" customHeight="1" thickBot="1">
      <c r="A28" s="102"/>
      <c r="B28" s="15">
        <v>5</v>
      </c>
      <c r="C28" s="39" t="s">
        <v>101</v>
      </c>
      <c r="D28" s="187" t="s">
        <v>21</v>
      </c>
      <c r="E28" s="188"/>
      <c r="F28" s="37">
        <f>F29+F30+F31</f>
        <v>990.07999999999993</v>
      </c>
      <c r="G28" s="189">
        <f>G29+G30+G31</f>
        <v>814.64</v>
      </c>
      <c r="H28" s="190"/>
      <c r="I28" s="79">
        <f t="shared" ref="I28:J29" si="7">I29+I30+I31</f>
        <v>0</v>
      </c>
      <c r="J28" s="79">
        <f t="shared" si="7"/>
        <v>0</v>
      </c>
      <c r="K28" s="79">
        <f>K29+K30+K31</f>
        <v>175.44</v>
      </c>
      <c r="L28" s="5"/>
    </row>
    <row r="29" spans="1:12" ht="60.75" customHeight="1" thickBot="1">
      <c r="A29" s="102"/>
      <c r="B29" s="15">
        <v>5.0999999999999996</v>
      </c>
      <c r="C29" s="39" t="s">
        <v>102</v>
      </c>
      <c r="D29" s="187" t="s">
        <v>21</v>
      </c>
      <c r="E29" s="188"/>
      <c r="F29" s="79">
        <f>G29+K29</f>
        <v>938.31999999999994</v>
      </c>
      <c r="G29" s="213">
        <f>ROUND('Додаток 1'!K49+'Додаток 3'!H34,2)</f>
        <v>772.06</v>
      </c>
      <c r="H29" s="214"/>
      <c r="I29" s="79">
        <f t="shared" si="7"/>
        <v>0</v>
      </c>
      <c r="J29" s="79">
        <f t="shared" si="7"/>
        <v>0</v>
      </c>
      <c r="K29" s="73">
        <f>ROUND('Додаток 1'!AA49+'Додаток 3'!I34,2)</f>
        <v>166.26</v>
      </c>
      <c r="L29" s="5"/>
    </row>
    <row r="30" spans="1:12" ht="24.75" customHeight="1" thickBot="1">
      <c r="A30" s="102"/>
      <c r="B30" s="15">
        <v>5.2</v>
      </c>
      <c r="C30" s="39" t="s">
        <v>93</v>
      </c>
      <c r="D30" s="187" t="s">
        <v>21</v>
      </c>
      <c r="E30" s="188"/>
      <c r="F30" s="79">
        <v>0</v>
      </c>
      <c r="G30" s="215">
        <v>0</v>
      </c>
      <c r="H30" s="216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103</v>
      </c>
      <c r="D31" s="187" t="s">
        <v>21</v>
      </c>
      <c r="E31" s="188"/>
      <c r="F31" s="79">
        <f>G31+K31</f>
        <v>51.76</v>
      </c>
      <c r="G31" s="213">
        <f>ROUND('Додаток 1'!K51+'Додаток 3'!H36,2)</f>
        <v>42.58</v>
      </c>
      <c r="H31" s="214"/>
      <c r="I31" s="79">
        <v>0</v>
      </c>
      <c r="J31" s="79">
        <v>0</v>
      </c>
      <c r="K31" s="73">
        <f>ROUND('Додаток 1'!AA51+'Додаток 3'!I36,2)</f>
        <v>9.18</v>
      </c>
      <c r="L31" s="5"/>
    </row>
    <row r="32" spans="1:12" ht="133.5" customHeight="1" thickBot="1">
      <c r="A32" s="102"/>
      <c r="B32" s="15">
        <v>6</v>
      </c>
      <c r="C32" s="39" t="s">
        <v>104</v>
      </c>
      <c r="D32" s="187" t="s">
        <v>21</v>
      </c>
      <c r="E32" s="188"/>
      <c r="F32" s="37">
        <f>F33+F34+F35</f>
        <v>990.07999999999993</v>
      </c>
      <c r="G32" s="205">
        <f t="shared" ref="G32:K32" si="8">G28</f>
        <v>814.64</v>
      </c>
      <c r="H32" s="206"/>
      <c r="I32" s="37">
        <v>0</v>
      </c>
      <c r="J32" s="37">
        <v>0</v>
      </c>
      <c r="K32" s="37">
        <f t="shared" si="8"/>
        <v>175.44</v>
      </c>
      <c r="L32" s="5"/>
    </row>
    <row r="33" spans="1:12" ht="77.25" customHeight="1" thickBot="1">
      <c r="A33" s="102"/>
      <c r="B33" s="15">
        <v>6.1</v>
      </c>
      <c r="C33" s="39" t="s">
        <v>102</v>
      </c>
      <c r="D33" s="187" t="s">
        <v>21</v>
      </c>
      <c r="E33" s="188"/>
      <c r="F33" s="37">
        <f>F29</f>
        <v>938.31999999999994</v>
      </c>
      <c r="G33" s="205">
        <f t="shared" ref="G33:K33" si="9">G29</f>
        <v>772.06</v>
      </c>
      <c r="H33" s="206"/>
      <c r="I33" s="37">
        <f t="shared" si="9"/>
        <v>0</v>
      </c>
      <c r="J33" s="37">
        <f t="shared" si="9"/>
        <v>0</v>
      </c>
      <c r="K33" s="37">
        <f t="shared" si="9"/>
        <v>166.26</v>
      </c>
      <c r="L33" s="5"/>
    </row>
    <row r="34" spans="1:12" ht="33" customHeight="1" thickBot="1">
      <c r="A34" s="102"/>
      <c r="B34" s="15">
        <v>6.2</v>
      </c>
      <c r="C34" s="39" t="s">
        <v>93</v>
      </c>
      <c r="D34" s="187" t="s">
        <v>21</v>
      </c>
      <c r="E34" s="188"/>
      <c r="F34" s="37">
        <v>0</v>
      </c>
      <c r="G34" s="211">
        <v>0</v>
      </c>
      <c r="H34" s="212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103</v>
      </c>
      <c r="D35" s="187" t="s">
        <v>21</v>
      </c>
      <c r="E35" s="188"/>
      <c r="F35" s="37">
        <f>F31</f>
        <v>51.76</v>
      </c>
      <c r="G35" s="205">
        <f t="shared" ref="G35:K35" si="10">G32-G33-G34</f>
        <v>42.580000000000041</v>
      </c>
      <c r="H35" s="206"/>
      <c r="I35" s="37">
        <f t="shared" si="10"/>
        <v>0</v>
      </c>
      <c r="J35" s="37">
        <f t="shared" si="10"/>
        <v>0</v>
      </c>
      <c r="K35" s="37">
        <f t="shared" si="10"/>
        <v>9.1800000000000068</v>
      </c>
      <c r="L35" s="5"/>
    </row>
    <row r="36" spans="1:12" ht="79.5" customHeight="1" thickBot="1">
      <c r="A36" s="102"/>
      <c r="B36" s="15">
        <v>7</v>
      </c>
      <c r="C36" s="39" t="s">
        <v>105</v>
      </c>
      <c r="D36" s="187" t="s">
        <v>57</v>
      </c>
      <c r="E36" s="188"/>
      <c r="F36" s="38">
        <f>F37+F38</f>
        <v>536.57999999999993</v>
      </c>
      <c r="G36" s="207">
        <f t="shared" ref="G36:K36" si="11">G37+G38</f>
        <v>441.32799999999997</v>
      </c>
      <c r="H36" s="208"/>
      <c r="I36" s="38">
        <f t="shared" si="11"/>
        <v>0</v>
      </c>
      <c r="J36" s="38">
        <f t="shared" si="11"/>
        <v>0</v>
      </c>
      <c r="K36" s="38">
        <f t="shared" si="11"/>
        <v>95.251999999999995</v>
      </c>
      <c r="L36" s="5"/>
    </row>
    <row r="37" spans="1:12" ht="52.5" customHeight="1" thickBot="1">
      <c r="A37" s="102"/>
      <c r="B37" s="15">
        <v>7.1</v>
      </c>
      <c r="C37" s="39" t="s">
        <v>106</v>
      </c>
      <c r="D37" s="187" t="s">
        <v>57</v>
      </c>
      <c r="E37" s="188"/>
      <c r="F37" s="38">
        <f>G37+K37</f>
        <v>536.57999999999993</v>
      </c>
      <c r="G37" s="209">
        <f>'Додаток 1'!K67</f>
        <v>441.32799999999997</v>
      </c>
      <c r="H37" s="210"/>
      <c r="I37" s="38">
        <v>0</v>
      </c>
      <c r="J37" s="38">
        <v>0</v>
      </c>
      <c r="K37" s="94">
        <f>'Додаток 1'!AA67</f>
        <v>95.251999999999995</v>
      </c>
      <c r="L37" s="5"/>
    </row>
    <row r="38" spans="1:12" ht="42.75" customHeight="1" thickBot="1">
      <c r="A38" s="102"/>
      <c r="B38" s="15">
        <v>7.2</v>
      </c>
      <c r="C38" s="39" t="s">
        <v>107</v>
      </c>
      <c r="D38" s="187" t="s">
        <v>57</v>
      </c>
      <c r="E38" s="188"/>
      <c r="F38" s="38">
        <v>0</v>
      </c>
      <c r="G38" s="199">
        <v>0</v>
      </c>
      <c r="H38" s="200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108</v>
      </c>
      <c r="D39" s="201"/>
      <c r="E39" s="202"/>
      <c r="F39" s="82" t="s">
        <v>127</v>
      </c>
      <c r="G39" s="203" t="s">
        <v>127</v>
      </c>
      <c r="H39" s="204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2"/>
      <c r="B40" s="15">
        <v>8.1</v>
      </c>
      <c r="C40" s="39" t="s">
        <v>109</v>
      </c>
      <c r="D40" s="187" t="s">
        <v>110</v>
      </c>
      <c r="E40" s="188"/>
      <c r="F40" s="79">
        <f>F15/F13*100</f>
        <v>5.5138142007925737</v>
      </c>
      <c r="G40" s="189">
        <f t="shared" ref="G40:K40" si="12">G15/G13*100</f>
        <v>5.513674835774955</v>
      </c>
      <c r="H40" s="190"/>
      <c r="I40" s="79">
        <v>0</v>
      </c>
      <c r="J40" s="79">
        <v>0</v>
      </c>
      <c r="K40" s="79">
        <f t="shared" si="12"/>
        <v>5.5169639018328738</v>
      </c>
      <c r="L40" s="5"/>
    </row>
    <row r="41" spans="1:12" ht="33" customHeight="1" thickBot="1">
      <c r="A41" s="102"/>
      <c r="B41" s="15">
        <v>8.1999999999999993</v>
      </c>
      <c r="C41" s="39" t="s">
        <v>111</v>
      </c>
      <c r="D41" s="187" t="s">
        <v>110</v>
      </c>
      <c r="E41" s="188"/>
      <c r="F41" s="79">
        <v>0</v>
      </c>
      <c r="G41" s="189">
        <v>0</v>
      </c>
      <c r="H41" s="190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112</v>
      </c>
      <c r="D42" s="191" t="s">
        <v>110</v>
      </c>
      <c r="E42" s="148"/>
      <c r="F42" s="80">
        <f>F23/F21*100</f>
        <v>5.5764191176470579</v>
      </c>
      <c r="G42" s="192">
        <f t="shared" ref="G42:K42" si="13">G23/G21*100</f>
        <v>5.5708222673709802</v>
      </c>
      <c r="H42" s="193"/>
      <c r="I42" s="80">
        <v>0</v>
      </c>
      <c r="J42" s="80">
        <v>0</v>
      </c>
      <c r="K42" s="80">
        <f t="shared" si="13"/>
        <v>5.6561732580037614</v>
      </c>
      <c r="L42" s="5"/>
    </row>
    <row r="43" spans="1:12" ht="25.5" customHeight="1" thickBot="1">
      <c r="A43" s="102"/>
      <c r="B43" s="15">
        <v>8.4</v>
      </c>
      <c r="C43" s="57" t="s">
        <v>113</v>
      </c>
      <c r="D43" s="194" t="s">
        <v>110</v>
      </c>
      <c r="E43" s="195"/>
      <c r="F43" s="81">
        <f>F27/F25*100</f>
        <v>5.5158104697757429</v>
      </c>
      <c r="G43" s="196">
        <f t="shared" ref="G43:K43" si="14">G27/G25*100</f>
        <v>5.515496453643487</v>
      </c>
      <c r="H43" s="197"/>
      <c r="I43" s="81">
        <v>0</v>
      </c>
      <c r="J43" s="81">
        <v>0</v>
      </c>
      <c r="K43" s="81">
        <f t="shared" si="14"/>
        <v>5.5214099603031457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198"/>
      <c r="C45" s="198"/>
      <c r="D45" s="198"/>
      <c r="E45" s="198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46" t="s">
        <v>154</v>
      </c>
      <c r="B46" s="246"/>
      <c r="C46" s="246"/>
      <c r="D46" s="246"/>
      <c r="E46" s="247"/>
      <c r="F46" s="247"/>
      <c r="G46" s="247"/>
      <c r="H46" s="248" t="s">
        <v>148</v>
      </c>
      <c r="I46" s="248"/>
      <c r="J46" s="248"/>
      <c r="K46" s="248"/>
      <c r="L46" s="248"/>
    </row>
    <row r="47" spans="1:12" ht="29.25" customHeight="1">
      <c r="A47" s="173"/>
      <c r="B47" s="173"/>
      <c r="C47" s="173"/>
      <c r="D47" s="173"/>
      <c r="E47" s="173" t="s">
        <v>64</v>
      </c>
      <c r="F47" s="173"/>
      <c r="G47" s="173"/>
      <c r="H47" s="173" t="s">
        <v>65</v>
      </c>
      <c r="I47" s="173"/>
      <c r="J47" s="173"/>
      <c r="K47" s="173"/>
      <c r="L47" s="173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H3:K3"/>
    <mergeCell ref="H4:K4"/>
    <mergeCell ref="H2:I2"/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G38:H38"/>
    <mergeCell ref="D39:E39"/>
    <mergeCell ref="G39:H39"/>
    <mergeCell ref="D40:E40"/>
    <mergeCell ref="G40:H40"/>
    <mergeCell ref="A7:K7"/>
    <mergeCell ref="A6:K6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D38:E38"/>
  </mergeCells>
  <pageMargins left="0.70866141732283472" right="0.39370078740157483" top="0.55118110236220474" bottom="0.55118110236220474" header="0.31496062992125984" footer="0.31496062992125984"/>
  <pageSetup paperSize="9" scale="4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2021-06-07T09:27:06Z</cp:lastPrinted>
  <dcterms:created xsi:type="dcterms:W3CDTF">2020-02-19T15:30:08Z</dcterms:created>
  <dcterms:modified xsi:type="dcterms:W3CDTF">2021-06-07T09:28:09Z</dcterms:modified>
</cp:coreProperties>
</file>