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1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AA31" i="1" l="1"/>
  <c r="I40" i="2"/>
  <c r="AA55" i="1" s="1"/>
  <c r="I39" i="2"/>
  <c r="I31" i="2"/>
  <c r="I29" i="2"/>
  <c r="I27" i="2"/>
  <c r="AA41" i="1" s="1"/>
  <c r="I25" i="2"/>
  <c r="AA38" i="1" s="1"/>
  <c r="H40" i="2"/>
  <c r="K55" i="1" s="1"/>
  <c r="H39" i="2"/>
  <c r="K54" i="1" s="1"/>
  <c r="H31" i="2"/>
  <c r="H29" i="2"/>
  <c r="H27" i="2"/>
  <c r="K41" i="1" s="1"/>
  <c r="K38" i="1"/>
  <c r="AA62" i="1"/>
  <c r="AA54" i="1"/>
  <c r="AA36" i="1"/>
  <c r="AA33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H34" i="2" s="1"/>
  <c r="G25" i="2"/>
  <c r="I28" i="2"/>
  <c r="I24" i="2"/>
  <c r="I34" i="2" l="1"/>
  <c r="I41" i="2" s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<sst xmlns="http://schemas.openxmlformats.org/spreadsheetml/2006/main" count="415" uniqueCount="155">
  <si>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</si>
  <si>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</si>
  <si>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</si>
  <si>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</si>
  <si>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</si>
  <si>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</si>
  <si>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</si>
  <si>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</si>
  <si>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</si>
  <si>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</si>
  <si>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</si>
  <si>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</si>
  <si>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</si>
  <si>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</si>
  <si>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</si>
  <si>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</si>
  <si>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</si>
  <si>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</si>
  <si>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</si>
  <si>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</si>
  <si>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</si>
  <si>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</si>
  <si>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</si>
  <si>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</si>
  <si>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</si>
  <si>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</si>
  <si>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</si>
  <si>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</si>
  <si>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</si>
  <si>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</si>
  <si>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</si>
  <si>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</si>
  <si>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</si>
  <si>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</si>
  <si>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</si>
  <si>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</si>
  <si>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</si>
  <si>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</si>
  <si>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</si>
  <si>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</si>
  <si>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</si>
  <si>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</si>
  <si>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</si>
  <si>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</si>
  <si>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</si>
  <si>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</si>
  <si>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</si>
  <si>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</si>
  <si>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</si>
  <si>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</si>
  <si>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</si>
  <si>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</si>
  <si>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</si>
  <si>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</si>
  <si>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</si>
  <si>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</si>
  <si>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</si>
  <si>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</si>
  <si>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</si>
  <si>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</si>
  <si>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</si>
  <si>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</si>
  <si>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</si>
  <si>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</si>
  <si>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</si>
  <si>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</si>
  <si>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</si>
  <si>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</si>
  <si>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</si>
  <si>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</si>
  <si>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</si>
  <si>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</si>
  <si>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</si>
  <si>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</si>
  <si>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</si>
  <si>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</si>
  <si>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</si>
  <si>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</si>
  <si>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</si>
  <si>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</si>
  <si>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</si>
  <si>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</si>
  <si>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</si>
  <si>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</si>
  <si>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</si>
  <si>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</si>
  <si>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</si>
  <si>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</si>
  <si>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</si>
  <si>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</si>
  <si>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</si>
  <si>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</si>
  <si>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</si>
  <si>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</si>
  <si>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</si>
  <si>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</si>
  <si>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</si>
  <si>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</si>
  <si>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</si>
  <si>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</si>
  <si>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</si>
  <si>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</si>
  <si>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</si>
  <si>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</si>
  <si>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</si>
  <si>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</si>
  <si>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</si>
  <si>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</si>
  <si>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</si>
  <si>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</si>
  <si>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</si>
  <si>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</si>
  <si>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</si>
  <si>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</si>
  <si>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</si>
  <si>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</si>
  <si>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</si>
  <si>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</si>
  <si>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</si>
  <si>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</si>
  <si>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</si>
  <si>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</si>
  <si>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</si>
  <si>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</si>
  <si>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</si>
  <si>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</si>
  <si>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</si>
  <si>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</si>
  <si>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</si>
  <si>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</si>
  <si>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</si>
  <si>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</si>
  <si>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</si>
  <si>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</si>
  <si>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</si>
  <si>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</si>
  <si>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</si>
  <si>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</si>
  <si>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</si>
  <si>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</si>
  <si>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</si>
  <si>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</si>
  <si>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</si>
  <si>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</si>
  <si>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за адресою: м.Вишневе  вул. Святошинська 27Г</t>
  </si>
  <si>
    <t xml:space="preserve">          за адресою: м.Вишневе  вул. Святошнська 27Г</t>
  </si>
  <si>
    <t xml:space="preserve">             за адресою: м.Вишневе  вул. Святошинська 27Г</t>
  </si>
  <si>
    <r>
      <t xml:space="preserve">Бучанського району від __________________року </t>
    </r>
    <r>
      <rPr>
        <b/>
        <u/>
        <sz val="18"/>
        <color theme="1"/>
        <rFont val="Times New Roman"/>
        <family val="1"/>
        <charset val="204"/>
      </rPr>
      <t>№________</t>
    </r>
  </si>
  <si>
    <t>Керуюча справами</t>
  </si>
  <si>
    <t>О.ВДОВЕНКО</t>
  </si>
  <si>
    <t xml:space="preserve">                                                               до рішення Виконавчого комітету Вишневої міської ради</t>
  </si>
  <si>
    <t xml:space="preserve">                                                                Додаток 3</t>
  </si>
  <si>
    <r>
      <t xml:space="preserve">                                                              Бучанського району від _______________</t>
    </r>
    <r>
      <rPr>
        <b/>
        <u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Times New Roman"/>
        <family val="1"/>
        <charset val="204"/>
      </rPr>
      <t>року № ________</t>
    </r>
  </si>
  <si>
    <r>
      <t xml:space="preserve">Бучанського району від ___________________ року </t>
    </r>
    <r>
      <rPr>
        <b/>
        <u/>
        <sz val="18"/>
        <color theme="1"/>
        <rFont val="Times New Roman"/>
        <family val="1"/>
        <charset val="204"/>
      </rPr>
      <t>№ _______</t>
    </r>
  </si>
  <si>
    <t xml:space="preserve">              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</si>
</sst>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0" xfId="0" applyAlignment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8">
          <cell r="C8">
            <v>936.95899999999995</v>
          </cell>
          <cell r="D8">
            <v>188.767</v>
          </cell>
          <cell r="S8">
            <v>2.97</v>
          </cell>
          <cell r="T8">
            <v>0.6</v>
          </cell>
          <cell r="V8">
            <v>176.35</v>
          </cell>
          <cell r="W8">
            <v>35.53</v>
          </cell>
          <cell r="AE8">
            <v>6.05</v>
          </cell>
          <cell r="AF8">
            <v>1.22</v>
          </cell>
          <cell r="AH8">
            <v>34.44</v>
          </cell>
          <cell r="AI8">
            <v>6.94</v>
          </cell>
          <cell r="AN8">
            <v>23.15</v>
          </cell>
          <cell r="AO8">
            <v>4.66</v>
          </cell>
          <cell r="AT8">
            <v>84.23</v>
          </cell>
          <cell r="AU8">
            <v>16.97</v>
          </cell>
          <cell r="BC8">
            <v>71.08</v>
          </cell>
          <cell r="BD8">
            <v>14.23</v>
          </cell>
          <cell r="BI8">
            <v>17.690000000000001</v>
          </cell>
          <cell r="BJ8">
            <v>3.54</v>
          </cell>
          <cell r="BO8">
            <v>37.47</v>
          </cell>
          <cell r="BP8">
            <v>7.55</v>
          </cell>
          <cell r="BU8">
            <v>3.13</v>
          </cell>
          <cell r="BV8">
            <v>0.63</v>
          </cell>
          <cell r="CG8">
            <v>0</v>
          </cell>
          <cell r="CH8">
            <v>0</v>
          </cell>
          <cell r="CJ8">
            <v>41.33</v>
          </cell>
          <cell r="CK8">
            <v>8.33</v>
          </cell>
          <cell r="DB8">
            <v>1038356.88</v>
          </cell>
          <cell r="DC8">
            <v>209241.51</v>
          </cell>
          <cell r="DK8">
            <v>57802.06</v>
          </cell>
          <cell r="DL8">
            <v>12049.74</v>
          </cell>
          <cell r="DR8">
            <v>2636.82</v>
          </cell>
          <cell r="DS8">
            <v>256.14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A75" sqref="A75:XFD75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3.25">
      <c r="A4" s="1"/>
      <c r="U4" s="236" t="s">
        <v>0</v>
      </c>
      <c r="V4" s="237"/>
      <c r="W4" s="237"/>
      <c r="X4" s="237"/>
      <c r="Y4" s="237"/>
      <c r="Z4" s="237"/>
      <c r="AA4" s="237"/>
    </row>
    <row r="5" spans="1:27" ht="23.25">
      <c r="A5" s="1"/>
      <c r="U5" s="236" t="s">
        <v>139</v>
      </c>
      <c r="V5" s="237"/>
      <c r="W5" s="237"/>
      <c r="X5" s="237"/>
      <c r="Y5" s="237"/>
      <c r="Z5" s="237"/>
      <c r="AA5" s="237"/>
    </row>
    <row r="6" spans="1:27" ht="23.25">
      <c r="A6" s="1"/>
      <c r="U6" s="236" t="s">
        <v>147</v>
      </c>
      <c r="V6" s="237"/>
      <c r="W6" s="237"/>
      <c r="X6" s="237"/>
      <c r="Y6" s="237"/>
      <c r="Z6" s="237"/>
      <c r="AA6" s="237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67</v>
      </c>
      <c r="H8" s="123" t="s">
        <v>140</v>
      </c>
      <c r="I8" s="124"/>
      <c r="J8" s="124"/>
      <c r="K8" s="124"/>
      <c r="L8" s="124"/>
      <c r="M8" s="124"/>
      <c r="N8" s="124"/>
    </row>
    <row r="9" spans="1:27" ht="29.25" customHeight="1" thickBot="1">
      <c r="H9" s="121" t="s">
        <v>144</v>
      </c>
      <c r="I9" s="121"/>
      <c r="J9" s="121"/>
      <c r="K9" s="121"/>
      <c r="L9" s="121"/>
      <c r="M9" s="122"/>
      <c r="N9" s="122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63" t="s">
        <v>6</v>
      </c>
      <c r="E10" s="164"/>
      <c r="F10" s="164"/>
      <c r="G10" s="165"/>
      <c r="H10" s="163" t="s">
        <v>7</v>
      </c>
      <c r="I10" s="164"/>
      <c r="J10" s="164"/>
      <c r="K10" s="165"/>
      <c r="L10" s="163" t="s">
        <v>7</v>
      </c>
      <c r="M10" s="164"/>
      <c r="N10" s="164"/>
      <c r="O10" s="165"/>
      <c r="P10" s="163" t="s">
        <v>7</v>
      </c>
      <c r="Q10" s="164"/>
      <c r="R10" s="164"/>
      <c r="S10" s="165"/>
      <c r="T10" s="163" t="s">
        <v>12</v>
      </c>
      <c r="U10" s="164"/>
      <c r="V10" s="164"/>
      <c r="W10" s="164"/>
      <c r="X10" s="164"/>
      <c r="Y10" s="164"/>
      <c r="Z10" s="164"/>
      <c r="AA10" s="165"/>
    </row>
    <row r="11" spans="1:27" ht="23.25" thickBot="1">
      <c r="A11" s="110" t="s">
        <v>3</v>
      </c>
      <c r="B11" s="111"/>
      <c r="C11" s="111"/>
      <c r="D11" s="166"/>
      <c r="E11" s="178"/>
      <c r="F11" s="178"/>
      <c r="G11" s="168"/>
      <c r="H11" s="166" t="s">
        <v>8</v>
      </c>
      <c r="I11" s="167"/>
      <c r="J11" s="167"/>
      <c r="K11" s="168"/>
      <c r="L11" s="166" t="s">
        <v>9</v>
      </c>
      <c r="M11" s="167"/>
      <c r="N11" s="167"/>
      <c r="O11" s="168"/>
      <c r="P11" s="166" t="s">
        <v>10</v>
      </c>
      <c r="Q11" s="167"/>
      <c r="R11" s="167"/>
      <c r="S11" s="168"/>
      <c r="T11" s="175"/>
      <c r="U11" s="176"/>
      <c r="V11" s="176"/>
      <c r="W11" s="176"/>
      <c r="X11" s="176"/>
      <c r="Y11" s="176"/>
      <c r="Z11" s="176"/>
      <c r="AA11" s="177"/>
    </row>
    <row r="12" spans="1:27" ht="27.75" customHeight="1">
      <c r="A12" s="112"/>
      <c r="B12" s="111"/>
      <c r="C12" s="111"/>
      <c r="D12" s="166"/>
      <c r="E12" s="178"/>
      <c r="F12" s="178"/>
      <c r="G12" s="168"/>
      <c r="H12" s="169"/>
      <c r="I12" s="170"/>
      <c r="J12" s="170"/>
      <c r="K12" s="171"/>
      <c r="L12" s="169"/>
      <c r="M12" s="170"/>
      <c r="N12" s="170"/>
      <c r="O12" s="171"/>
      <c r="P12" s="166" t="s">
        <v>11</v>
      </c>
      <c r="Q12" s="167"/>
      <c r="R12" s="167"/>
      <c r="S12" s="168"/>
      <c r="T12" s="163" t="s">
        <v>13</v>
      </c>
      <c r="U12" s="164"/>
      <c r="V12" s="164"/>
      <c r="W12" s="165"/>
      <c r="X12" s="163" t="s">
        <v>13</v>
      </c>
      <c r="Y12" s="164"/>
      <c r="Z12" s="164"/>
      <c r="AA12" s="165"/>
    </row>
    <row r="13" spans="1:27" ht="22.5">
      <c r="A13" s="112"/>
      <c r="B13" s="111"/>
      <c r="C13" s="111"/>
      <c r="D13" s="166"/>
      <c r="E13" s="178"/>
      <c r="F13" s="178"/>
      <c r="G13" s="168"/>
      <c r="H13" s="169"/>
      <c r="I13" s="170"/>
      <c r="J13" s="170"/>
      <c r="K13" s="171"/>
      <c r="L13" s="169"/>
      <c r="M13" s="170"/>
      <c r="N13" s="170"/>
      <c r="O13" s="171"/>
      <c r="P13" s="169"/>
      <c r="Q13" s="170"/>
      <c r="R13" s="170"/>
      <c r="S13" s="171"/>
      <c r="T13" s="166" t="s">
        <v>10</v>
      </c>
      <c r="U13" s="167"/>
      <c r="V13" s="167"/>
      <c r="W13" s="168"/>
      <c r="X13" s="166" t="s">
        <v>14</v>
      </c>
      <c r="Y13" s="167"/>
      <c r="Z13" s="167"/>
      <c r="AA13" s="168"/>
    </row>
    <row r="14" spans="1:27" ht="21.75" customHeight="1" thickBot="1">
      <c r="A14" s="112"/>
      <c r="B14" s="111"/>
      <c r="C14" s="111"/>
      <c r="D14" s="175"/>
      <c r="E14" s="176"/>
      <c r="F14" s="176"/>
      <c r="G14" s="177"/>
      <c r="H14" s="172"/>
      <c r="I14" s="173"/>
      <c r="J14" s="173"/>
      <c r="K14" s="174"/>
      <c r="L14" s="172"/>
      <c r="M14" s="173"/>
      <c r="N14" s="173"/>
      <c r="O14" s="174"/>
      <c r="P14" s="172"/>
      <c r="Q14" s="173"/>
      <c r="R14" s="173"/>
      <c r="S14" s="174"/>
      <c r="T14" s="172"/>
      <c r="U14" s="173"/>
      <c r="V14" s="173"/>
      <c r="W14" s="174"/>
      <c r="X14" s="175" t="s">
        <v>15</v>
      </c>
      <c r="Y14" s="176"/>
      <c r="Z14" s="176"/>
      <c r="AA14" s="177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1766.1999999999998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1469.88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296.32000000000005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296.32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1323.9199999999998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1101.77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222.15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222.15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1247.5999999999999</v>
      </c>
      <c r="H19" s="51">
        <v>0</v>
      </c>
      <c r="I19" s="51">
        <v>0</v>
      </c>
      <c r="J19" s="51">
        <v>0</v>
      </c>
      <c r="K19" s="68">
        <f>ROUND('[1]Витрати 20 -21'!$DB$8/1000,2)</f>
        <v>1038.3599999999999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209.24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20 -21'!$DC$8/1000,2)</f>
        <v>209.24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69.849999999999994</v>
      </c>
      <c r="H20" s="51">
        <v>0</v>
      </c>
      <c r="I20" s="51">
        <v>0</v>
      </c>
      <c r="J20" s="51">
        <v>0</v>
      </c>
      <c r="K20" s="68">
        <f>ROUND('[1]Витрати 20 -21'!$DK$8/1000,2)</f>
        <v>57.8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12.05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20 -21'!$DL$8/1000,2)</f>
        <v>12.05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2.9000000000000004</v>
      </c>
      <c r="H22" s="51">
        <v>0</v>
      </c>
      <c r="I22" s="51">
        <v>0</v>
      </c>
      <c r="J22" s="51">
        <v>0</v>
      </c>
      <c r="K22" s="68">
        <f>ROUND('[1]Витрати 20 -21'!$DR$8/1000,2)</f>
        <v>2.64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0.26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20 -21'!$DS$8/1000,2)</f>
        <v>0.26</v>
      </c>
    </row>
    <row r="23" spans="1:28" ht="24.75" customHeight="1" thickBot="1">
      <c r="A23" s="154" t="s">
        <v>118</v>
      </c>
      <c r="B23" s="46" t="s">
        <v>125</v>
      </c>
      <c r="C23" s="133" t="s">
        <v>21</v>
      </c>
      <c r="D23" s="129">
        <f t="shared" si="12"/>
        <v>0</v>
      </c>
      <c r="E23" s="129">
        <f t="shared" si="13"/>
        <v>0</v>
      </c>
      <c r="F23" s="129">
        <f t="shared" si="14"/>
        <v>0</v>
      </c>
      <c r="G23" s="129">
        <f t="shared" si="15"/>
        <v>3.5700000000000003</v>
      </c>
      <c r="H23" s="51"/>
      <c r="I23" s="51"/>
      <c r="J23" s="51"/>
      <c r="K23" s="140">
        <f>ROUND('[1]Витрати 20 -21'!$S$8,2)</f>
        <v>2.97</v>
      </c>
      <c r="L23" s="129">
        <v>0</v>
      </c>
      <c r="M23" s="129">
        <v>0</v>
      </c>
      <c r="N23" s="129">
        <v>0</v>
      </c>
      <c r="O23" s="129">
        <v>0</v>
      </c>
      <c r="P23" s="129">
        <f t="shared" si="7"/>
        <v>0</v>
      </c>
      <c r="Q23" s="129">
        <f t="shared" si="8"/>
        <v>0</v>
      </c>
      <c r="R23" s="129">
        <f t="shared" si="9"/>
        <v>0</v>
      </c>
      <c r="S23" s="129">
        <f t="shared" si="10"/>
        <v>0.6</v>
      </c>
      <c r="T23" s="129">
        <v>0</v>
      </c>
      <c r="U23" s="129">
        <v>0</v>
      </c>
      <c r="V23" s="129">
        <f t="shared" ref="V23:W23" si="19">V24+V31+V32+V33+V38</f>
        <v>0</v>
      </c>
      <c r="W23" s="129">
        <f t="shared" si="19"/>
        <v>0</v>
      </c>
      <c r="X23" s="125">
        <v>0</v>
      </c>
      <c r="Y23" s="125">
        <v>0</v>
      </c>
      <c r="Z23" s="125">
        <v>0</v>
      </c>
      <c r="AA23" s="140">
        <f>ROUND('[1]Витрати 20 -21'!$T$8,2)</f>
        <v>0.6</v>
      </c>
    </row>
    <row r="24" spans="1:28" ht="30.75" customHeight="1" thickBot="1">
      <c r="A24" s="155"/>
      <c r="B24" s="46" t="s">
        <v>126</v>
      </c>
      <c r="C24" s="134"/>
      <c r="D24" s="130"/>
      <c r="E24" s="130"/>
      <c r="F24" s="130"/>
      <c r="G24" s="130"/>
      <c r="H24" s="51">
        <v>0</v>
      </c>
      <c r="I24" s="51">
        <v>0</v>
      </c>
      <c r="J24" s="51">
        <v>0</v>
      </c>
      <c r="K24" s="141"/>
      <c r="L24" s="130"/>
      <c r="M24" s="156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26"/>
      <c r="Y24" s="126"/>
      <c r="Z24" s="126"/>
      <c r="AA24" s="141"/>
    </row>
    <row r="25" spans="1:28" ht="21.75" customHeight="1" thickBot="1">
      <c r="A25" s="152">
        <v>1.2</v>
      </c>
      <c r="B25" s="47" t="s">
        <v>27</v>
      </c>
      <c r="C25" s="150" t="s">
        <v>21</v>
      </c>
      <c r="D25" s="129">
        <f>H25+P25</f>
        <v>0</v>
      </c>
      <c r="E25" s="129">
        <f>I25+Q25</f>
        <v>0</v>
      </c>
      <c r="F25" s="129">
        <f>J25+R25</f>
        <v>0</v>
      </c>
      <c r="G25" s="129">
        <f>K25+S25</f>
        <v>211.88</v>
      </c>
      <c r="H25" s="51"/>
      <c r="I25" s="51"/>
      <c r="J25" s="51"/>
      <c r="K25" s="140">
        <f>ROUND('[1]Витрати 20 -21'!$V$8,2)</f>
        <v>176.35</v>
      </c>
      <c r="L25" s="157">
        <v>0</v>
      </c>
      <c r="M25" s="159">
        <v>0</v>
      </c>
      <c r="N25" s="161">
        <v>0</v>
      </c>
      <c r="O25" s="129">
        <v>0</v>
      </c>
      <c r="P25" s="129">
        <f t="shared" si="7"/>
        <v>0</v>
      </c>
      <c r="Q25" s="129">
        <f t="shared" si="8"/>
        <v>0</v>
      </c>
      <c r="R25" s="129">
        <f t="shared" si="9"/>
        <v>0</v>
      </c>
      <c r="S25" s="129">
        <f t="shared" si="10"/>
        <v>35.53</v>
      </c>
      <c r="T25" s="129">
        <v>0</v>
      </c>
      <c r="U25" s="129">
        <v>0</v>
      </c>
      <c r="V25" s="129">
        <f t="shared" ref="V25:W25" si="20">V26+V33+V34+V35+V40</f>
        <v>0</v>
      </c>
      <c r="W25" s="129">
        <f t="shared" si="20"/>
        <v>0</v>
      </c>
      <c r="X25" s="125">
        <v>0</v>
      </c>
      <c r="Y25" s="125">
        <v>0</v>
      </c>
      <c r="Z25" s="125">
        <v>0</v>
      </c>
      <c r="AA25" s="140">
        <f>ROUND('[1]Витрати 20 -21'!$W$8,2)</f>
        <v>35.53</v>
      </c>
    </row>
    <row r="26" spans="1:28" ht="32.25" customHeight="1" thickBot="1">
      <c r="A26" s="153"/>
      <c r="B26" s="48" t="s">
        <v>28</v>
      </c>
      <c r="C26" s="151"/>
      <c r="D26" s="130"/>
      <c r="E26" s="130"/>
      <c r="F26" s="130"/>
      <c r="G26" s="130"/>
      <c r="H26" s="51">
        <v>0</v>
      </c>
      <c r="I26" s="51">
        <v>0</v>
      </c>
      <c r="J26" s="51">
        <v>0</v>
      </c>
      <c r="K26" s="141"/>
      <c r="L26" s="158"/>
      <c r="M26" s="160"/>
      <c r="N26" s="162"/>
      <c r="O26" s="130"/>
      <c r="P26" s="130"/>
      <c r="Q26" s="130"/>
      <c r="R26" s="130"/>
      <c r="S26" s="130"/>
      <c r="T26" s="130"/>
      <c r="U26" s="130"/>
      <c r="V26" s="130"/>
      <c r="W26" s="130"/>
      <c r="X26" s="126"/>
      <c r="Y26" s="126"/>
      <c r="Z26" s="126"/>
      <c r="AA26" s="141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95.27000000000001</v>
      </c>
      <c r="H27" s="51">
        <v>0</v>
      </c>
      <c r="I27" s="51">
        <v>0</v>
      </c>
      <c r="J27" s="51">
        <v>0</v>
      </c>
      <c r="K27" s="51">
        <f>ROUND(K28+K29+K30+K31,2)</f>
        <v>79.290000000000006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15.98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15.98</v>
      </c>
    </row>
    <row r="28" spans="1:28" ht="20.25" customHeight="1" thickBot="1">
      <c r="A28" s="148" t="s">
        <v>119</v>
      </c>
      <c r="B28" s="47" t="s">
        <v>30</v>
      </c>
      <c r="C28" s="150" t="s">
        <v>21</v>
      </c>
      <c r="D28" s="129">
        <f t="shared" ref="D28:D31" si="23">H28+P28</f>
        <v>0</v>
      </c>
      <c r="E28" s="129">
        <f t="shared" ref="E28:E31" si="24">I28+Q28</f>
        <v>0</v>
      </c>
      <c r="F28" s="129">
        <v>0</v>
      </c>
      <c r="G28" s="129">
        <f>K28+O28+S28</f>
        <v>46.62</v>
      </c>
      <c r="H28" s="51"/>
      <c r="I28" s="51"/>
      <c r="J28" s="51"/>
      <c r="K28" s="125">
        <f>ROUND(K25*22%,2)</f>
        <v>38.799999999999997</v>
      </c>
      <c r="L28" s="129">
        <v>0</v>
      </c>
      <c r="M28" s="129">
        <v>0</v>
      </c>
      <c r="N28" s="129">
        <v>0</v>
      </c>
      <c r="O28" s="129">
        <v>0</v>
      </c>
      <c r="P28" s="129">
        <f t="shared" si="7"/>
        <v>0</v>
      </c>
      <c r="Q28" s="129">
        <f t="shared" si="8"/>
        <v>0</v>
      </c>
      <c r="R28" s="129">
        <f t="shared" si="9"/>
        <v>0</v>
      </c>
      <c r="S28" s="129">
        <f t="shared" si="10"/>
        <v>7.82</v>
      </c>
      <c r="T28" s="129">
        <v>0</v>
      </c>
      <c r="U28" s="129">
        <v>0</v>
      </c>
      <c r="V28" s="129">
        <f t="shared" ref="V28:W28" si="25">V29+V36+V37+V38+V43</f>
        <v>0</v>
      </c>
      <c r="W28" s="129">
        <f t="shared" si="25"/>
        <v>0</v>
      </c>
      <c r="X28" s="125">
        <v>0</v>
      </c>
      <c r="Y28" s="125">
        <v>0</v>
      </c>
      <c r="Z28" s="125">
        <v>0</v>
      </c>
      <c r="AA28" s="125">
        <f>ROUND(AA25*22%,2)</f>
        <v>7.82</v>
      </c>
    </row>
    <row r="29" spans="1:28" ht="30" customHeight="1" thickBot="1">
      <c r="A29" s="149"/>
      <c r="B29" s="48" t="s">
        <v>31</v>
      </c>
      <c r="C29" s="151"/>
      <c r="D29" s="130"/>
      <c r="E29" s="130"/>
      <c r="F29" s="130"/>
      <c r="G29" s="130"/>
      <c r="H29" s="51">
        <v>0</v>
      </c>
      <c r="I29" s="51">
        <v>0</v>
      </c>
      <c r="J29" s="51">
        <v>0</v>
      </c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26"/>
      <c r="Y29" s="126"/>
      <c r="Z29" s="126"/>
      <c r="AA29" s="126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7.27</v>
      </c>
      <c r="H30" s="51">
        <v>0</v>
      </c>
      <c r="I30" s="51">
        <v>0</v>
      </c>
      <c r="J30" s="51">
        <v>0</v>
      </c>
      <c r="K30" s="68">
        <f>ROUND('[1]Витрати 20 -21'!$AE$8,2)</f>
        <v>6.05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1.22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20 -21'!$AF$8,2)</f>
        <v>1.22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41.379999999999995</v>
      </c>
      <c r="H31" s="51">
        <v>0</v>
      </c>
      <c r="I31" s="51">
        <v>0</v>
      </c>
      <c r="J31" s="51">
        <v>0</v>
      </c>
      <c r="K31" s="68">
        <f>ROUND('[1]Витрати 20 -21'!$AH$8,2)</f>
        <v>34.44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6.94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20 -21'!$AI$8,2)</f>
        <v>6.94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135.13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112.47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22.66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22.66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27.81</v>
      </c>
      <c r="H33" s="51">
        <v>0</v>
      </c>
      <c r="I33" s="51">
        <v>0</v>
      </c>
      <c r="J33" s="51">
        <v>0</v>
      </c>
      <c r="K33" s="68">
        <f>ROUND('[1]Витрати 20 -21'!$AN$8,2)</f>
        <v>23.15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4.66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20 -21'!$AO$8,2)</f>
        <v>4.66</v>
      </c>
    </row>
    <row r="34" spans="1:27" ht="20.25">
      <c r="A34" s="146" t="s">
        <v>123</v>
      </c>
      <c r="B34" s="46" t="s">
        <v>30</v>
      </c>
      <c r="C34" s="133" t="s">
        <v>21</v>
      </c>
      <c r="D34" s="129">
        <f t="shared" si="31"/>
        <v>0</v>
      </c>
      <c r="E34" s="129">
        <f t="shared" si="32"/>
        <v>0</v>
      </c>
      <c r="F34" s="129">
        <f t="shared" si="26"/>
        <v>0</v>
      </c>
      <c r="G34" s="129">
        <f>K34+O34+S34</f>
        <v>6.12</v>
      </c>
      <c r="H34" s="125">
        <v>0</v>
      </c>
      <c r="I34" s="125">
        <v>0</v>
      </c>
      <c r="J34" s="125">
        <v>0</v>
      </c>
      <c r="K34" s="127">
        <f>ROUND(K33*22%,2)</f>
        <v>5.09</v>
      </c>
      <c r="L34" s="129">
        <v>0</v>
      </c>
      <c r="M34" s="129">
        <v>0</v>
      </c>
      <c r="N34" s="129">
        <v>0</v>
      </c>
      <c r="O34" s="129">
        <v>0</v>
      </c>
      <c r="P34" s="129">
        <f t="shared" si="7"/>
        <v>0</v>
      </c>
      <c r="Q34" s="129">
        <f t="shared" si="8"/>
        <v>0</v>
      </c>
      <c r="R34" s="129">
        <f t="shared" si="9"/>
        <v>0</v>
      </c>
      <c r="S34" s="129">
        <f t="shared" si="10"/>
        <v>1.03</v>
      </c>
      <c r="T34" s="129">
        <v>0</v>
      </c>
      <c r="U34" s="129">
        <v>0</v>
      </c>
      <c r="V34" s="129">
        <f t="shared" ref="V34:W34" si="34">V35+V42+V43+V44+V49</f>
        <v>0</v>
      </c>
      <c r="W34" s="129">
        <f t="shared" si="34"/>
        <v>0</v>
      </c>
      <c r="X34" s="125">
        <v>0</v>
      </c>
      <c r="Y34" s="125">
        <v>0</v>
      </c>
      <c r="Z34" s="125">
        <v>0</v>
      </c>
      <c r="AA34" s="125">
        <f>ROUND(AA33*22%,2)</f>
        <v>1.03</v>
      </c>
    </row>
    <row r="35" spans="1:27" ht="21" thickBot="1">
      <c r="A35" s="147"/>
      <c r="B35" s="39" t="s">
        <v>31</v>
      </c>
      <c r="C35" s="134"/>
      <c r="D35" s="130"/>
      <c r="E35" s="130"/>
      <c r="F35" s="130"/>
      <c r="G35" s="130"/>
      <c r="H35" s="126"/>
      <c r="I35" s="126"/>
      <c r="J35" s="126"/>
      <c r="K35" s="128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26"/>
      <c r="Y35" s="126"/>
      <c r="Z35" s="126"/>
      <c r="AA35" s="126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101.2</v>
      </c>
      <c r="H36" s="51">
        <v>0</v>
      </c>
      <c r="I36" s="51">
        <v>0</v>
      </c>
      <c r="J36" s="51">
        <v>0</v>
      </c>
      <c r="K36" s="68">
        <f>ROUND('[1]Витрати 20 -21'!$AT$8,2)</f>
        <v>84.23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16.97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20 -21'!$AU$8,2)</f>
        <v>16.97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121.23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101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20.23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20.23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82.53</v>
      </c>
      <c r="H38" s="51">
        <v>0</v>
      </c>
      <c r="I38" s="51">
        <v>0</v>
      </c>
      <c r="J38" s="51">
        <v>0</v>
      </c>
      <c r="K38" s="68">
        <f>ROUND('[1]Витрати 20 -21'!$BC$8-'Додаток 3'!H25,2)</f>
        <v>68.760000000000005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13.77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20 -21'!$BD$8-'Додаток 3'!I25,2)</f>
        <v>13.77</v>
      </c>
    </row>
    <row r="39" spans="1:27" ht="18.75" customHeight="1">
      <c r="A39" s="131">
        <v>2.2000000000000002</v>
      </c>
      <c r="B39" s="46" t="s">
        <v>30</v>
      </c>
      <c r="C39" s="133" t="s">
        <v>21</v>
      </c>
      <c r="D39" s="129">
        <v>0</v>
      </c>
      <c r="E39" s="129">
        <v>0</v>
      </c>
      <c r="F39" s="129">
        <v>0</v>
      </c>
      <c r="G39" s="129">
        <f>K39+O39+S39</f>
        <v>18.16</v>
      </c>
      <c r="H39" s="125">
        <v>0</v>
      </c>
      <c r="I39" s="125">
        <v>0</v>
      </c>
      <c r="J39" s="125">
        <v>0</v>
      </c>
      <c r="K39" s="127">
        <f>ROUND(K38*22%,2)</f>
        <v>15.13</v>
      </c>
      <c r="L39" s="129">
        <v>0</v>
      </c>
      <c r="M39" s="129">
        <v>0</v>
      </c>
      <c r="N39" s="129">
        <v>0</v>
      </c>
      <c r="O39" s="129">
        <v>0</v>
      </c>
      <c r="P39" s="129">
        <f t="shared" si="7"/>
        <v>0</v>
      </c>
      <c r="Q39" s="129">
        <f t="shared" si="8"/>
        <v>0</v>
      </c>
      <c r="R39" s="129">
        <f t="shared" si="9"/>
        <v>0</v>
      </c>
      <c r="S39" s="129">
        <f t="shared" si="10"/>
        <v>3.03</v>
      </c>
      <c r="T39" s="129">
        <v>0</v>
      </c>
      <c r="U39" s="129">
        <v>0</v>
      </c>
      <c r="V39" s="129">
        <f t="shared" ref="V39:W39" si="39">V40+V47+V48+V49+V54</f>
        <v>0</v>
      </c>
      <c r="W39" s="129">
        <f t="shared" si="39"/>
        <v>0</v>
      </c>
      <c r="X39" s="125">
        <v>0</v>
      </c>
      <c r="Y39" s="125">
        <v>0</v>
      </c>
      <c r="Z39" s="125">
        <v>0</v>
      </c>
      <c r="AA39" s="125">
        <f>ROUND(AA38*22%,2)</f>
        <v>3.03</v>
      </c>
    </row>
    <row r="40" spans="1:27" ht="19.5" customHeight="1" thickBot="1">
      <c r="A40" s="132"/>
      <c r="B40" s="39" t="s">
        <v>31</v>
      </c>
      <c r="C40" s="134"/>
      <c r="D40" s="130"/>
      <c r="E40" s="130"/>
      <c r="F40" s="130"/>
      <c r="G40" s="130"/>
      <c r="H40" s="126"/>
      <c r="I40" s="126"/>
      <c r="J40" s="126"/>
      <c r="K40" s="128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26"/>
      <c r="Y40" s="126"/>
      <c r="Z40" s="126"/>
      <c r="AA40" s="126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20.54</v>
      </c>
      <c r="H41" s="51">
        <v>0</v>
      </c>
      <c r="I41" s="51">
        <v>0</v>
      </c>
      <c r="J41" s="51">
        <v>0</v>
      </c>
      <c r="K41" s="68">
        <f>ROUND('[1]Витрати 20 -21'!$BI$8-'Додаток 3'!H27,2)</f>
        <v>17.11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3.43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20 -21'!$BJ$8-'Додаток 3'!I27,2)</f>
        <v>3.43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68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31">
        <v>3.2</v>
      </c>
      <c r="B44" s="46" t="s">
        <v>30</v>
      </c>
      <c r="C44" s="133" t="s">
        <v>21</v>
      </c>
      <c r="D44" s="129">
        <f t="shared" si="31"/>
        <v>0</v>
      </c>
      <c r="E44" s="129">
        <v>0</v>
      </c>
      <c r="F44" s="129">
        <v>0</v>
      </c>
      <c r="G44" s="129">
        <f>K44+O44+S44</f>
        <v>0</v>
      </c>
      <c r="H44" s="125">
        <v>0</v>
      </c>
      <c r="I44" s="125">
        <v>0</v>
      </c>
      <c r="J44" s="125">
        <v>0</v>
      </c>
      <c r="K44" s="140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f t="shared" si="7"/>
        <v>0</v>
      </c>
      <c r="Q44" s="129">
        <f t="shared" si="8"/>
        <v>0</v>
      </c>
      <c r="R44" s="129">
        <f t="shared" si="9"/>
        <v>0</v>
      </c>
      <c r="S44" s="129">
        <f t="shared" si="10"/>
        <v>0</v>
      </c>
      <c r="T44" s="129">
        <v>0</v>
      </c>
      <c r="U44" s="129">
        <v>0</v>
      </c>
      <c r="V44" s="129">
        <f t="shared" ref="V44:W44" si="44">V45+V52+V53+V54+V59</f>
        <v>0</v>
      </c>
      <c r="W44" s="129">
        <f t="shared" si="44"/>
        <v>0</v>
      </c>
      <c r="X44" s="125">
        <v>0</v>
      </c>
      <c r="Y44" s="125">
        <v>0</v>
      </c>
      <c r="Z44" s="125">
        <v>0</v>
      </c>
      <c r="AA44" s="125">
        <f>AA43*22%</f>
        <v>0</v>
      </c>
    </row>
    <row r="45" spans="1:27" ht="25.5" customHeight="1" thickBot="1">
      <c r="A45" s="132"/>
      <c r="B45" s="39" t="s">
        <v>31</v>
      </c>
      <c r="C45" s="134"/>
      <c r="D45" s="130"/>
      <c r="E45" s="130"/>
      <c r="F45" s="130"/>
      <c r="G45" s="130"/>
      <c r="H45" s="126"/>
      <c r="I45" s="126"/>
      <c r="J45" s="126"/>
      <c r="K45" s="141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26"/>
      <c r="Y45" s="126"/>
      <c r="Z45" s="126"/>
      <c r="AA45" s="126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68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1887.4300000000003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1570.88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316.55000000000007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316.55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104.62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87.07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17.55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17.55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18.829999999999998</v>
      </c>
      <c r="H52" s="75" t="s">
        <v>46</v>
      </c>
      <c r="I52" s="75" t="s">
        <v>46</v>
      </c>
      <c r="J52" s="51">
        <v>0</v>
      </c>
      <c r="K52" s="37">
        <f>ROUND(18%*(K53+K54+K55+K57)/82%,2)</f>
        <v>15.67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3.16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3.16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48.04</v>
      </c>
      <c r="H54" s="75" t="s">
        <v>46</v>
      </c>
      <c r="I54" s="75" t="s">
        <v>46</v>
      </c>
      <c r="J54" s="51">
        <v>0</v>
      </c>
      <c r="K54" s="68">
        <f>ROUND('[1]Витрати 20 -21'!$CJ$8-'Додаток 3'!H39,2)</f>
        <v>39.979999999999997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8.06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20 -21'!$CK$8-'Додаток 3'!I39,2)</f>
        <v>8.06</v>
      </c>
    </row>
    <row r="55" spans="1:28" ht="19.5" customHeight="1">
      <c r="A55" s="131">
        <v>8.4</v>
      </c>
      <c r="B55" s="46" t="s">
        <v>49</v>
      </c>
      <c r="C55" s="133" t="s">
        <v>21</v>
      </c>
      <c r="D55" s="135" t="s">
        <v>46</v>
      </c>
      <c r="E55" s="135" t="s">
        <v>46</v>
      </c>
      <c r="F55" s="125">
        <v>0</v>
      </c>
      <c r="G55" s="129">
        <f t="shared" si="46"/>
        <v>0</v>
      </c>
      <c r="H55" s="135" t="s">
        <v>46</v>
      </c>
      <c r="I55" s="135" t="s">
        <v>46</v>
      </c>
      <c r="J55" s="125">
        <v>0</v>
      </c>
      <c r="K55" s="140">
        <f>ROUND('[1]Витрати 20 -21'!$CG$8-'Додаток 3'!H40,2)</f>
        <v>0</v>
      </c>
      <c r="L55" s="142" t="s">
        <v>46</v>
      </c>
      <c r="M55" s="142" t="s">
        <v>46</v>
      </c>
      <c r="N55" s="129">
        <v>0</v>
      </c>
      <c r="O55" s="129">
        <v>0</v>
      </c>
      <c r="P55" s="144" t="s">
        <v>127</v>
      </c>
      <c r="Q55" s="135" t="s">
        <v>46</v>
      </c>
      <c r="R55" s="129">
        <f t="shared" si="9"/>
        <v>0</v>
      </c>
      <c r="S55" s="129">
        <f t="shared" si="10"/>
        <v>0</v>
      </c>
      <c r="T55" s="135" t="s">
        <v>46</v>
      </c>
      <c r="U55" s="135" t="s">
        <v>46</v>
      </c>
      <c r="V55" s="129">
        <v>0</v>
      </c>
      <c r="W55" s="129">
        <v>0</v>
      </c>
      <c r="X55" s="135" t="s">
        <v>46</v>
      </c>
      <c r="Y55" s="135" t="s">
        <v>46</v>
      </c>
      <c r="Z55" s="125">
        <v>0</v>
      </c>
      <c r="AA55" s="140">
        <f>ROUND('[1]Витрати 20 -21'!$CH$8-'Додаток 3'!I40,2)</f>
        <v>0</v>
      </c>
    </row>
    <row r="56" spans="1:28" ht="24" customHeight="1" thickBot="1">
      <c r="A56" s="132"/>
      <c r="B56" s="39" t="s">
        <v>50</v>
      </c>
      <c r="C56" s="134"/>
      <c r="D56" s="136"/>
      <c r="E56" s="136"/>
      <c r="F56" s="126"/>
      <c r="G56" s="130"/>
      <c r="H56" s="136"/>
      <c r="I56" s="136"/>
      <c r="J56" s="126"/>
      <c r="K56" s="141"/>
      <c r="L56" s="143"/>
      <c r="M56" s="143"/>
      <c r="N56" s="130"/>
      <c r="O56" s="130"/>
      <c r="P56" s="145"/>
      <c r="Q56" s="136"/>
      <c r="R56" s="130"/>
      <c r="S56" s="130"/>
      <c r="T56" s="136"/>
      <c r="U56" s="136"/>
      <c r="V56" s="130"/>
      <c r="W56" s="130"/>
      <c r="X56" s="136"/>
      <c r="Y56" s="136"/>
      <c r="Z56" s="126"/>
      <c r="AA56" s="141"/>
    </row>
    <row r="57" spans="1:28" ht="29.25" customHeight="1" thickBot="1">
      <c r="A57" s="15">
        <v>8.5</v>
      </c>
      <c r="B57" s="39" t="s">
        <v>135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37.75</v>
      </c>
      <c r="H57" s="75" t="s">
        <v>46</v>
      </c>
      <c r="I57" s="75" t="s">
        <v>46</v>
      </c>
      <c r="J57" s="51">
        <v>0</v>
      </c>
      <c r="K57" s="37">
        <f>ROUND(K49*2%,2)</f>
        <v>31.42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6.33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6.33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1992.0500000000002</v>
      </c>
      <c r="H58" s="51">
        <v>0</v>
      </c>
      <c r="I58" s="51">
        <v>0</v>
      </c>
      <c r="J58" s="51">
        <v>0</v>
      </c>
      <c r="K58" s="51">
        <f>ROUND(K49+K51,2)</f>
        <v>1657.95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334.1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334.1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1769.5691491535244</v>
      </c>
      <c r="H59" s="51">
        <v>0</v>
      </c>
      <c r="I59" s="51">
        <v>0</v>
      </c>
      <c r="J59" s="51">
        <v>0</v>
      </c>
      <c r="K59" s="51">
        <f>ROUND(K58/K62*1000,2)</f>
        <v>1769.5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1769.91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1769.91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1108.2625789934673</v>
      </c>
      <c r="H60" s="51">
        <v>0</v>
      </c>
      <c r="I60" s="51">
        <v>0</v>
      </c>
      <c r="J60" s="51">
        <v>0</v>
      </c>
      <c r="K60" s="51">
        <f>ROUND(K19/K62*1000,2)</f>
        <v>1108.22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1108.46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1108.46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661.30657016005716</v>
      </c>
      <c r="H61" s="51">
        <v>0</v>
      </c>
      <c r="I61" s="51">
        <v>0</v>
      </c>
      <c r="J61" s="51">
        <v>0</v>
      </c>
      <c r="K61" s="51">
        <f>ROUND(K59-K60,2)</f>
        <v>661.28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661.45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661.45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1125.7259999999999</v>
      </c>
      <c r="H62" s="51">
        <v>0</v>
      </c>
      <c r="I62" s="51">
        <v>0</v>
      </c>
      <c r="J62" s="51">
        <v>0</v>
      </c>
      <c r="K62" s="83">
        <f>ROUND('[1]Витрати 20 -21'!$C$8,3)</f>
        <v>936.95899999999995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188.767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20 -21'!$D$8,3)</f>
        <v>188.767</v>
      </c>
    </row>
    <row r="63" spans="1:28" ht="20.25">
      <c r="A63" s="131">
        <v>12</v>
      </c>
      <c r="B63" s="46" t="s">
        <v>58</v>
      </c>
      <c r="C63" s="133" t="s">
        <v>57</v>
      </c>
      <c r="D63" s="125">
        <v>0</v>
      </c>
      <c r="E63" s="125">
        <v>0</v>
      </c>
      <c r="F63" s="125">
        <v>0</v>
      </c>
      <c r="G63" s="125">
        <f t="shared" si="46"/>
        <v>0</v>
      </c>
      <c r="H63" s="125">
        <v>0</v>
      </c>
      <c r="I63" s="125">
        <v>0</v>
      </c>
      <c r="J63" s="125">
        <v>0</v>
      </c>
      <c r="K63" s="125">
        <v>0</v>
      </c>
      <c r="L63" s="129">
        <v>0</v>
      </c>
      <c r="M63" s="129">
        <v>0</v>
      </c>
      <c r="N63" s="129">
        <v>0</v>
      </c>
      <c r="O63" s="129">
        <v>0</v>
      </c>
      <c r="P63" s="129">
        <f>T63+X63</f>
        <v>0</v>
      </c>
      <c r="Q63" s="129">
        <f>U63+Y63</f>
        <v>0</v>
      </c>
      <c r="R63" s="129">
        <f t="shared" si="9"/>
        <v>0</v>
      </c>
      <c r="S63" s="129">
        <f t="shared" si="10"/>
        <v>0</v>
      </c>
      <c r="T63" s="129">
        <v>0</v>
      </c>
      <c r="U63" s="129">
        <v>0</v>
      </c>
      <c r="V63" s="129">
        <v>0</v>
      </c>
      <c r="W63" s="129">
        <v>0</v>
      </c>
      <c r="X63" s="125">
        <v>0</v>
      </c>
      <c r="Y63" s="125">
        <v>0</v>
      </c>
      <c r="Z63" s="125">
        <v>0</v>
      </c>
      <c r="AA63" s="125">
        <v>0</v>
      </c>
    </row>
    <row r="64" spans="1:28" ht="30" customHeight="1" thickBot="1">
      <c r="A64" s="132"/>
      <c r="B64" s="39" t="s">
        <v>59</v>
      </c>
      <c r="C64" s="134"/>
      <c r="D64" s="126"/>
      <c r="E64" s="126"/>
      <c r="F64" s="126"/>
      <c r="G64" s="126"/>
      <c r="H64" s="126"/>
      <c r="I64" s="126"/>
      <c r="J64" s="126"/>
      <c r="K64" s="126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26"/>
      <c r="Y64" s="126"/>
      <c r="Z64" s="126"/>
      <c r="AA64" s="126"/>
    </row>
    <row r="65" spans="1:28" ht="24.75" customHeight="1">
      <c r="A65" s="131">
        <v>13</v>
      </c>
      <c r="B65" s="46" t="s">
        <v>60</v>
      </c>
      <c r="C65" s="133" t="s">
        <v>53</v>
      </c>
      <c r="D65" s="125">
        <v>0</v>
      </c>
      <c r="E65" s="125">
        <v>0</v>
      </c>
      <c r="F65" s="125">
        <v>0</v>
      </c>
      <c r="G65" s="125">
        <f t="shared" si="46"/>
        <v>0</v>
      </c>
      <c r="H65" s="125">
        <v>0</v>
      </c>
      <c r="I65" s="125">
        <v>0</v>
      </c>
      <c r="J65" s="125">
        <v>0</v>
      </c>
      <c r="K65" s="125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f>T65+X65</f>
        <v>0</v>
      </c>
      <c r="Q65" s="129">
        <f t="shared" ref="Q65" si="56">U65+Y65</f>
        <v>0</v>
      </c>
      <c r="R65" s="129">
        <f t="shared" ref="R65" si="57">V65+Z65</f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5">
        <v>0</v>
      </c>
      <c r="Y65" s="125">
        <v>0</v>
      </c>
      <c r="Z65" s="125">
        <v>0</v>
      </c>
      <c r="AA65" s="125">
        <v>0</v>
      </c>
    </row>
    <row r="66" spans="1:28" ht="29.25" customHeight="1" thickBot="1">
      <c r="A66" s="132"/>
      <c r="B66" s="39" t="s">
        <v>59</v>
      </c>
      <c r="C66" s="134"/>
      <c r="D66" s="126"/>
      <c r="E66" s="126"/>
      <c r="F66" s="126"/>
      <c r="G66" s="126"/>
      <c r="H66" s="126"/>
      <c r="I66" s="126"/>
      <c r="J66" s="126"/>
      <c r="K66" s="126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26"/>
      <c r="Y66" s="126"/>
      <c r="Z66" s="126"/>
      <c r="AA66" s="126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1125.7259999999999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936.95899999999995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188.767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188.767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1676.633568026323</v>
      </c>
      <c r="H68" s="51">
        <v>0</v>
      </c>
      <c r="I68" s="51">
        <v>0</v>
      </c>
      <c r="J68" s="51">
        <v>0</v>
      </c>
      <c r="K68" s="51">
        <f>ROUND(K49/K67*1000,2)</f>
        <v>1676.57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1676.94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1676.94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39"/>
      <c r="C74" s="13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8"/>
      <c r="W74" s="138"/>
      <c r="X74" s="138"/>
      <c r="Y74" s="138"/>
      <c r="Z74" s="138"/>
      <c r="AA74" s="21"/>
      <c r="AB74" s="21"/>
    </row>
    <row r="75" spans="1:28" s="59" customFormat="1" ht="18.75" customHeight="1">
      <c r="A75" s="238"/>
      <c r="B75" s="239" t="s">
        <v>148</v>
      </c>
      <c r="C75" s="240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 t="s">
        <v>149</v>
      </c>
      <c r="X75" s="241"/>
      <c r="Y75" s="241"/>
      <c r="Z75" s="241"/>
      <c r="AA75" s="241"/>
      <c r="AB75" s="241"/>
    </row>
    <row r="76" spans="1:28" ht="25.5" customHeight="1">
      <c r="A76" s="137"/>
      <c r="B76" s="137"/>
      <c r="C76" s="137"/>
      <c r="D76" s="17"/>
      <c r="E76" s="17"/>
      <c r="F76" s="17"/>
      <c r="G76" s="17"/>
      <c r="H76" s="17"/>
      <c r="I76" s="137" t="s">
        <v>64</v>
      </c>
      <c r="J76" s="137"/>
      <c r="K76" s="137"/>
      <c r="L76" s="137"/>
      <c r="M76" s="137"/>
      <c r="N76" s="17"/>
      <c r="O76" s="17"/>
      <c r="P76" s="17"/>
      <c r="Q76" s="17"/>
      <c r="R76" s="17"/>
      <c r="S76" s="17"/>
      <c r="T76" s="17"/>
      <c r="U76" s="17"/>
      <c r="V76" s="137" t="s">
        <v>65</v>
      </c>
      <c r="W76" s="137"/>
      <c r="X76" s="137"/>
      <c r="Y76" s="137"/>
      <c r="Z76" s="137"/>
      <c r="AA76" s="17"/>
      <c r="AB76" s="17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tabSelected="1" view="pageBreakPreview" topLeftCell="A34" zoomScale="60" workbookViewId="0">
      <selection activeCell="A53" sqref="A53:B53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2" t="s">
        <v>151</v>
      </c>
      <c r="B3" s="242"/>
      <c r="C3" s="242"/>
      <c r="D3" s="242"/>
      <c r="E3" s="242"/>
      <c r="F3" s="242"/>
      <c r="G3" s="242"/>
    </row>
    <row r="4" spans="1:9" ht="21" customHeight="1">
      <c r="A4" s="242" t="s">
        <v>150</v>
      </c>
      <c r="B4" s="242"/>
      <c r="C4" s="242"/>
      <c r="D4" s="242"/>
      <c r="E4" s="242"/>
      <c r="F4" s="242"/>
      <c r="G4" s="242"/>
    </row>
    <row r="5" spans="1:9" ht="21" customHeight="1">
      <c r="A5" s="242" t="s">
        <v>152</v>
      </c>
      <c r="B5" s="242"/>
      <c r="C5" s="242"/>
      <c r="D5" s="242"/>
      <c r="E5" s="242"/>
      <c r="F5" s="242"/>
      <c r="G5" s="242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6"/>
      <c r="B7" s="186"/>
      <c r="C7" s="186"/>
      <c r="D7" s="186"/>
      <c r="E7" s="186"/>
      <c r="F7" s="186"/>
      <c r="G7" s="186"/>
    </row>
    <row r="8" spans="1:9" ht="18.75" customHeight="1">
      <c r="A8" s="186" t="s">
        <v>141</v>
      </c>
      <c r="B8" s="186"/>
      <c r="C8" s="186"/>
      <c r="D8" s="186"/>
      <c r="E8" s="186"/>
      <c r="F8" s="186"/>
      <c r="G8" s="186"/>
    </row>
    <row r="9" spans="1:9" ht="24" thickBot="1">
      <c r="A9" s="59"/>
      <c r="B9" s="180" t="s">
        <v>145</v>
      </c>
      <c r="C9" s="180"/>
      <c r="D9" s="181"/>
      <c r="E9" s="181"/>
      <c r="F9" s="181"/>
      <c r="G9" s="60" t="s">
        <v>86</v>
      </c>
    </row>
    <row r="10" spans="1:9" ht="24" thickBot="1">
      <c r="A10" s="61"/>
      <c r="B10" s="62"/>
      <c r="C10" s="107"/>
      <c r="D10" s="182" t="s">
        <v>69</v>
      </c>
      <c r="E10" s="183"/>
      <c r="F10" s="183"/>
      <c r="G10" s="183"/>
      <c r="H10" s="184"/>
      <c r="I10" s="185"/>
    </row>
    <row r="11" spans="1:9" ht="96" customHeight="1" thickBot="1">
      <c r="A11" s="113" t="s">
        <v>68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136</v>
      </c>
      <c r="H11" s="118" t="s">
        <v>137</v>
      </c>
      <c r="I11" s="119" t="s">
        <v>138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4.08</v>
      </c>
      <c r="H24" s="88">
        <f>ROUND(H25+H26+H27,2)</f>
        <v>3.41</v>
      </c>
      <c r="I24" s="88">
        <f>ROUND(I25+I26+I27,2)</f>
        <v>0.67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2.78</v>
      </c>
      <c r="H25" s="89">
        <f>ROUND('[1]Витрати 20 -21'!$BC$8*'[1]Витрати 20 -21'!$BL$28%,2)</f>
        <v>2.3199999999999998</v>
      </c>
      <c r="I25" s="89">
        <f>ROUND('[1]Витрати 20 -21'!$BD$8*'[1]Витрати 20 -21'!$BM$28%,2)</f>
        <v>0.46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0.61</v>
      </c>
      <c r="H26" s="88">
        <f>ROUND(H25*22%,2)</f>
        <v>0.51</v>
      </c>
      <c r="I26" s="88">
        <f>ROUND(I25*22%,2)</f>
        <v>0.1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0.69</v>
      </c>
      <c r="H27" s="89">
        <f>ROUND('[1]Витрати 20 -21'!$BI$8*'[1]Витрати 20 -21'!$BL$28%,2)</f>
        <v>0.57999999999999996</v>
      </c>
      <c r="I27" s="93">
        <f>ROUND('[1]Витрати 20 -21'!$BJ$8*'[1]Витрати 20 -21'!$BM$28%,2)</f>
        <v>0.11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58.680000000000007</v>
      </c>
      <c r="H28" s="88">
        <f>ROUND(H29+H30+H31,2)</f>
        <v>48.84</v>
      </c>
      <c r="I28" s="88">
        <f>ROUND(I29+I30+I31,2)</f>
        <v>9.84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45.019999999999996</v>
      </c>
      <c r="H29" s="89">
        <f>ROUND('[1]Витрати 20 -21'!$BO$8,2)</f>
        <v>37.47</v>
      </c>
      <c r="I29" s="89">
        <f>ROUND('[1]Витрати 20 -21'!$BP$8,2)</f>
        <v>7.55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9.9</v>
      </c>
      <c r="H30" s="88">
        <f>ROUND(H29*22%,2)</f>
        <v>8.24</v>
      </c>
      <c r="I30" s="88">
        <f>ROUND(I29*22%,2)</f>
        <v>1.66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3.76</v>
      </c>
      <c r="H31" s="89">
        <f>ROUND('[1]Витрати 20 -21'!$BU$8,2)</f>
        <v>3.13</v>
      </c>
      <c r="I31" s="89">
        <f>ROUND('[1]Витрати 20 -21'!$BV$8,2)</f>
        <v>0.63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62.76</v>
      </c>
      <c r="H34" s="88">
        <f>ROUND(H13+H24+H28+H32+H33,2)</f>
        <v>52.25</v>
      </c>
      <c r="I34" s="88">
        <f>ROUND(I13+I24+I28+I32+I33,2)</f>
        <v>10.51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3.52</v>
      </c>
      <c r="H36" s="88">
        <f>ROUND(H37+H38+H39+H40+H41,2)</f>
        <v>2.93</v>
      </c>
      <c r="I36" s="88">
        <f>ROUND(I37+I38+I39+I40+I41,2)</f>
        <v>0.59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0.64</v>
      </c>
      <c r="H37" s="91">
        <f>ROUND(18%*(H38+H39+H40+H41)/82%,2)</f>
        <v>0.53</v>
      </c>
      <c r="I37" s="91">
        <f>ROUND(18%*(I38+I39+I40+I41)/82%,2)</f>
        <v>0.11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1.62</v>
      </c>
      <c r="H39" s="89">
        <f>ROUND('[1]Витрати 20 -21'!$CJ$8*'[1]Витрати 20 -21'!$BL$28%,2)</f>
        <v>1.35</v>
      </c>
      <c r="I39" s="89">
        <f>ROUND('[1]Витрати 20 -21'!$CK$8*'[1]Витрати 20 -21'!$BM$28%,2)</f>
        <v>0.27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89">
        <f>ROUND('[1]Витрати 20 -21'!$CG$8*'[1]Витрати 20 -21'!$BL$28%,2)</f>
        <v>0</v>
      </c>
      <c r="I40" s="89">
        <f>ROUND('[1]Витрати 20 -21'!$CH$8*'[1]Витрати 20 -21'!$BM$28%,2)</f>
        <v>0</v>
      </c>
    </row>
    <row r="41" spans="1:9" ht="46.5" customHeight="1" thickBot="1">
      <c r="A41" s="6">
        <v>8.5</v>
      </c>
      <c r="B41" s="39" t="s">
        <v>135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1.26</v>
      </c>
      <c r="H41" s="88">
        <f>ROUND(H34*2%,2)</f>
        <v>1.05</v>
      </c>
      <c r="I41" s="88">
        <f>ROUND(I34*2%,2)</f>
        <v>0.21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66.28</v>
      </c>
      <c r="H42" s="88">
        <f>ROUND(H34+H36,2)</f>
        <v>55.18</v>
      </c>
      <c r="I42" s="88">
        <f>ROUND(I34+I36,2)</f>
        <v>11.1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58.87755990356446</v>
      </c>
      <c r="H43" s="88">
        <f>ROUND(H42/H44*1000,2)</f>
        <v>58.89</v>
      </c>
      <c r="I43" s="88">
        <f>ROUND(I42/I44*1000,2)</f>
        <v>58.8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1125.7259999999999</v>
      </c>
      <c r="H44" s="96">
        <f>ROUND('Додаток 1'!K67,3)</f>
        <v>936.95899999999995</v>
      </c>
      <c r="I44" s="96">
        <f>ROUND('Додаток 1'!AA67,3)</f>
        <v>188.767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936.96</v>
      </c>
      <c r="H45" s="88">
        <f>ROUND(H44,2)</f>
        <v>936.96</v>
      </c>
      <c r="I45" s="88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188.767</v>
      </c>
      <c r="H48" s="88">
        <v>0</v>
      </c>
      <c r="I48" s="95">
        <f>I44</f>
        <v>188.767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3"/>
      <c r="B52" s="241" t="s">
        <v>148</v>
      </c>
      <c r="C52" s="241"/>
      <c r="D52" s="241"/>
      <c r="E52" s="241"/>
      <c r="F52" s="244" t="s">
        <v>149</v>
      </c>
      <c r="G52" s="244"/>
      <c r="J52" s="101"/>
    </row>
    <row r="53" spans="1:10" ht="25.5" customHeight="1">
      <c r="A53" s="137"/>
      <c r="B53" s="137"/>
      <c r="C53" s="17"/>
      <c r="D53" s="29" t="s">
        <v>64</v>
      </c>
      <c r="E53" s="17"/>
      <c r="F53" s="137" t="s">
        <v>65</v>
      </c>
      <c r="G53" s="137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view="pageBreakPreview" topLeftCell="A19" zoomScale="60" workbookViewId="0">
      <selection activeCell="A47" sqref="A47:D47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132</v>
      </c>
      <c r="G2" s="11"/>
      <c r="H2" s="242" t="s">
        <v>133</v>
      </c>
      <c r="I2" s="179"/>
      <c r="J2" s="239"/>
      <c r="K2" s="239"/>
    </row>
    <row r="3" spans="1:12" ht="21.75" customHeight="1">
      <c r="A3" s="99" t="s">
        <v>87</v>
      </c>
      <c r="B3" s="12"/>
      <c r="C3" s="12"/>
      <c r="D3" s="12"/>
      <c r="E3" s="12"/>
      <c r="F3" s="12"/>
      <c r="G3" s="12"/>
      <c r="H3" s="245" t="s">
        <v>131</v>
      </c>
      <c r="I3" s="179"/>
      <c r="J3" s="179"/>
      <c r="K3" s="179"/>
    </row>
    <row r="4" spans="1:12" ht="23.25" customHeight="1">
      <c r="A4" s="98" t="s">
        <v>134</v>
      </c>
      <c r="G4" s="11"/>
      <c r="H4" s="242" t="s">
        <v>153</v>
      </c>
      <c r="I4" s="179"/>
      <c r="J4" s="179"/>
      <c r="K4" s="179"/>
    </row>
    <row r="5" spans="1:12">
      <c r="A5" s="100"/>
    </row>
    <row r="6" spans="1:12" ht="25.5" customHeight="1">
      <c r="A6" s="186" t="s">
        <v>142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25.5" customHeight="1">
      <c r="A7" s="186" t="s">
        <v>143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24" thickBot="1">
      <c r="A8" s="101"/>
      <c r="B8" s="59"/>
      <c r="C8" s="59"/>
      <c r="D8" s="63" t="s">
        <v>146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187" t="s">
        <v>68</v>
      </c>
      <c r="C9" s="187" t="s">
        <v>88</v>
      </c>
      <c r="D9" s="189" t="s">
        <v>5</v>
      </c>
      <c r="E9" s="190"/>
      <c r="F9" s="187" t="s">
        <v>6</v>
      </c>
      <c r="G9" s="193" t="s">
        <v>89</v>
      </c>
      <c r="H9" s="194"/>
      <c r="I9" s="194"/>
      <c r="J9" s="194"/>
      <c r="K9" s="195"/>
      <c r="L9" s="5"/>
    </row>
    <row r="10" spans="1:12" ht="58.5" customHeight="1" thickBot="1">
      <c r="A10" s="102"/>
      <c r="B10" s="188"/>
      <c r="C10" s="188"/>
      <c r="D10" s="191"/>
      <c r="E10" s="192"/>
      <c r="F10" s="188"/>
      <c r="G10" s="193" t="s">
        <v>81</v>
      </c>
      <c r="H10" s="195"/>
      <c r="I10" s="116" t="s">
        <v>82</v>
      </c>
      <c r="J10" s="116" t="s">
        <v>90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196">
        <v>3</v>
      </c>
      <c r="E11" s="197"/>
      <c r="F11" s="16">
        <v>4</v>
      </c>
      <c r="G11" s="196">
        <v>5</v>
      </c>
      <c r="H11" s="197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91</v>
      </c>
      <c r="D12" s="198" t="s">
        <v>53</v>
      </c>
      <c r="E12" s="199"/>
      <c r="F12" s="66">
        <f>ROUND('Додаток 1'!G59,2)</f>
        <v>1769.57</v>
      </c>
      <c r="G12" s="200">
        <f>ROUND('Додаток 1'!K59,2)</f>
        <v>1769.5</v>
      </c>
      <c r="H12" s="201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1769.91</v>
      </c>
      <c r="L12" s="72"/>
    </row>
    <row r="13" spans="1:12" ht="44.25" customHeight="1" thickBot="1">
      <c r="A13" s="102"/>
      <c r="B13" s="15">
        <v>1.1000000000000001</v>
      </c>
      <c r="C13" s="39" t="s">
        <v>92</v>
      </c>
      <c r="D13" s="202" t="s">
        <v>53</v>
      </c>
      <c r="E13" s="203"/>
      <c r="F13" s="51">
        <f>('Додаток 1'!G49)/F37*1000</f>
        <v>1676.633568026323</v>
      </c>
      <c r="G13" s="204">
        <f>('Додаток 1'!K49)/G37*1000</f>
        <v>1676.5728276263958</v>
      </c>
      <c r="H13" s="205"/>
      <c r="I13" s="51">
        <v>0</v>
      </c>
      <c r="J13" s="51">
        <v>0</v>
      </c>
      <c r="K13" s="53">
        <f>('Додаток 1'!AA49)/K37*1000</f>
        <v>1676.9350575047545</v>
      </c>
      <c r="L13" s="5"/>
    </row>
    <row r="14" spans="1:12" ht="39" customHeight="1" thickBot="1">
      <c r="A14" s="102"/>
      <c r="B14" s="15">
        <v>1.2</v>
      </c>
      <c r="C14" s="39" t="s">
        <v>93</v>
      </c>
      <c r="D14" s="202" t="s">
        <v>21</v>
      </c>
      <c r="E14" s="203"/>
      <c r="F14" s="37">
        <v>0</v>
      </c>
      <c r="G14" s="206">
        <v>0</v>
      </c>
      <c r="H14" s="207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94</v>
      </c>
      <c r="D15" s="202" t="s">
        <v>53</v>
      </c>
      <c r="E15" s="203"/>
      <c r="F15" s="51">
        <f>F12-F13</f>
        <v>92.936431973676918</v>
      </c>
      <c r="G15" s="208">
        <f>G12-G13</f>
        <v>92.927172373604208</v>
      </c>
      <c r="H15" s="209"/>
      <c r="I15" s="51">
        <v>0</v>
      </c>
      <c r="J15" s="51">
        <v>0</v>
      </c>
      <c r="K15" s="51">
        <f>K12-K13</f>
        <v>92.974942495245614</v>
      </c>
      <c r="L15" s="77"/>
    </row>
    <row r="16" spans="1:12" s="67" customFormat="1" ht="47.25" customHeight="1" thickBot="1">
      <c r="A16" s="102"/>
      <c r="B16" s="70">
        <v>2</v>
      </c>
      <c r="C16" s="71" t="s">
        <v>95</v>
      </c>
      <c r="D16" s="198" t="s">
        <v>53</v>
      </c>
      <c r="E16" s="199"/>
      <c r="F16" s="66">
        <f>F17+F18+F19</f>
        <v>0</v>
      </c>
      <c r="G16" s="200">
        <f t="shared" ref="G16:K16" si="1">G17+G18+G19</f>
        <v>0</v>
      </c>
      <c r="H16" s="201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96</v>
      </c>
      <c r="D17" s="202" t="s">
        <v>53</v>
      </c>
      <c r="E17" s="203"/>
      <c r="F17" s="37">
        <f>G17+I17+J17+K17</f>
        <v>0</v>
      </c>
      <c r="G17" s="206">
        <v>0</v>
      </c>
      <c r="H17" s="207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93</v>
      </c>
      <c r="D18" s="202" t="s">
        <v>21</v>
      </c>
      <c r="E18" s="203"/>
      <c r="F18" s="37">
        <f>G18+I18+J18+K18</f>
        <v>0</v>
      </c>
      <c r="G18" s="206">
        <v>0</v>
      </c>
      <c r="H18" s="207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94</v>
      </c>
      <c r="D19" s="202" t="s">
        <v>53</v>
      </c>
      <c r="E19" s="203"/>
      <c r="F19" s="37">
        <f>G19+I19+J19+K19</f>
        <v>0</v>
      </c>
      <c r="G19" s="206">
        <v>0</v>
      </c>
      <c r="H19" s="207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97</v>
      </c>
      <c r="D20" s="198" t="s">
        <v>53</v>
      </c>
      <c r="E20" s="199"/>
      <c r="F20" s="66">
        <f>ROUND('Додаток 3'!G43,2)</f>
        <v>58.88</v>
      </c>
      <c r="G20" s="200">
        <f>ROUND('Додаток 3'!H43,2)</f>
        <v>58.89</v>
      </c>
      <c r="H20" s="201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58.8</v>
      </c>
      <c r="L20" s="5"/>
    </row>
    <row r="21" spans="1:12" ht="45" customHeight="1" thickBot="1">
      <c r="A21" s="102"/>
      <c r="B21" s="15">
        <v>3.1</v>
      </c>
      <c r="C21" s="39" t="s">
        <v>98</v>
      </c>
      <c r="D21" s="202" t="s">
        <v>53</v>
      </c>
      <c r="E21" s="203"/>
      <c r="F21" s="51">
        <f>('Додаток 3'!G34)/F37*1000</f>
        <v>55.750688888770455</v>
      </c>
      <c r="G21" s="204">
        <f>('Додаток 3'!H34)/G37*1000</f>
        <v>55.765513752469431</v>
      </c>
      <c r="H21" s="205"/>
      <c r="I21" s="51">
        <v>0</v>
      </c>
      <c r="J21" s="51">
        <v>0</v>
      </c>
      <c r="K21" s="51">
        <f>('Додаток 3'!I34)/K37*1000</f>
        <v>55.677104578660462</v>
      </c>
      <c r="L21" s="5"/>
    </row>
    <row r="22" spans="1:12" ht="33" customHeight="1" thickBot="1">
      <c r="A22" s="102"/>
      <c r="B22" s="15">
        <v>3.2</v>
      </c>
      <c r="C22" s="39" t="s">
        <v>93</v>
      </c>
      <c r="D22" s="202" t="s">
        <v>21</v>
      </c>
      <c r="E22" s="203"/>
      <c r="F22" s="37">
        <f t="shared" ref="F22:F26" si="3">G22+I22+J22+K22</f>
        <v>0</v>
      </c>
      <c r="G22" s="206">
        <v>0</v>
      </c>
      <c r="H22" s="207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94</v>
      </c>
      <c r="D23" s="202" t="s">
        <v>53</v>
      </c>
      <c r="E23" s="203"/>
      <c r="F23" s="51">
        <f>F20-F21</f>
        <v>3.1293111112295477</v>
      </c>
      <c r="G23" s="208">
        <f>G20-G21</f>
        <v>3.1244862475305695</v>
      </c>
      <c r="H23" s="209"/>
      <c r="I23" s="51">
        <v>0</v>
      </c>
      <c r="J23" s="51">
        <v>0</v>
      </c>
      <c r="K23" s="51">
        <f>K20-K21</f>
        <v>3.1228954213395355</v>
      </c>
      <c r="L23" s="5"/>
    </row>
    <row r="24" spans="1:12" s="67" customFormat="1" ht="40.5" customHeight="1" thickBot="1">
      <c r="A24" s="102"/>
      <c r="B24" s="70">
        <v>4</v>
      </c>
      <c r="C24" s="71" t="s">
        <v>99</v>
      </c>
      <c r="D24" s="198" t="s">
        <v>53</v>
      </c>
      <c r="E24" s="199"/>
      <c r="F24" s="66">
        <f>F12+F16+F20</f>
        <v>1828.45</v>
      </c>
      <c r="G24" s="200">
        <f>G12+G16+G20</f>
        <v>1828.39</v>
      </c>
      <c r="H24" s="201"/>
      <c r="I24" s="66">
        <f t="shared" ref="I24:J24" si="4">I12+I20</f>
        <v>0</v>
      </c>
      <c r="J24" s="66">
        <f t="shared" si="4"/>
        <v>0</v>
      </c>
      <c r="K24" s="66">
        <f>K12+K16+K20</f>
        <v>1828.71</v>
      </c>
      <c r="L24" s="78"/>
    </row>
    <row r="25" spans="1:12" ht="39" customHeight="1" thickBot="1">
      <c r="A25" s="102"/>
      <c r="B25" s="15">
        <v>4.0999999999999996</v>
      </c>
      <c r="C25" s="39" t="s">
        <v>100</v>
      </c>
      <c r="D25" s="202" t="s">
        <v>53</v>
      </c>
      <c r="E25" s="203"/>
      <c r="F25" s="37">
        <f>F13+F17+F21</f>
        <v>1732.3842569150934</v>
      </c>
      <c r="G25" s="210">
        <f>G13+G17+G21</f>
        <v>1732.3383413788652</v>
      </c>
      <c r="H25" s="211"/>
      <c r="I25" s="37">
        <f t="shared" ref="I25:K25" si="5">I13+I17+I21</f>
        <v>0</v>
      </c>
      <c r="J25" s="37">
        <f t="shared" si="5"/>
        <v>0</v>
      </c>
      <c r="K25" s="37">
        <f t="shared" si="5"/>
        <v>1732.6121620834149</v>
      </c>
      <c r="L25" s="77"/>
    </row>
    <row r="26" spans="1:12" ht="40.5" customHeight="1" thickBot="1">
      <c r="A26" s="102"/>
      <c r="B26" s="15">
        <v>4.2</v>
      </c>
      <c r="C26" s="39" t="s">
        <v>93</v>
      </c>
      <c r="D26" s="202" t="s">
        <v>21</v>
      </c>
      <c r="E26" s="203"/>
      <c r="F26" s="37">
        <f t="shared" si="3"/>
        <v>0</v>
      </c>
      <c r="G26" s="206">
        <f>G14+G18+G22</f>
        <v>0</v>
      </c>
      <c r="H26" s="207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94</v>
      </c>
      <c r="D27" s="202" t="s">
        <v>53</v>
      </c>
      <c r="E27" s="203"/>
      <c r="F27" s="37">
        <f>F15+F19+F23</f>
        <v>96.065743084906472</v>
      </c>
      <c r="G27" s="210">
        <f>G15+G19+G23</f>
        <v>96.051658621134777</v>
      </c>
      <c r="H27" s="211"/>
      <c r="I27" s="37">
        <v>0</v>
      </c>
      <c r="J27" s="37">
        <f t="shared" ref="J27" si="6">J24-J25-J26</f>
        <v>0</v>
      </c>
      <c r="K27" s="37">
        <f>K15+K19+K23</f>
        <v>96.097837916585149</v>
      </c>
      <c r="L27" s="5"/>
    </row>
    <row r="28" spans="1:12" ht="83.25" customHeight="1" thickBot="1">
      <c r="A28" s="102"/>
      <c r="B28" s="15">
        <v>5</v>
      </c>
      <c r="C28" s="39" t="s">
        <v>101</v>
      </c>
      <c r="D28" s="202" t="s">
        <v>21</v>
      </c>
      <c r="E28" s="203"/>
      <c r="F28" s="37">
        <f>F29+F30+F31</f>
        <v>2058.33</v>
      </c>
      <c r="G28" s="212">
        <f>G29+G30+G31</f>
        <v>1713.13</v>
      </c>
      <c r="H28" s="213"/>
      <c r="I28" s="79">
        <f t="shared" ref="I28:J29" si="7">I29+I30+I31</f>
        <v>0</v>
      </c>
      <c r="J28" s="79">
        <f t="shared" si="7"/>
        <v>0</v>
      </c>
      <c r="K28" s="79">
        <f>K29+K30+K31</f>
        <v>345.2</v>
      </c>
      <c r="L28" s="5"/>
    </row>
    <row r="29" spans="1:12" ht="60.75" customHeight="1" thickBot="1">
      <c r="A29" s="102"/>
      <c r="B29" s="15">
        <v>5.0999999999999996</v>
      </c>
      <c r="C29" s="39" t="s">
        <v>102</v>
      </c>
      <c r="D29" s="202" t="s">
        <v>21</v>
      </c>
      <c r="E29" s="203"/>
      <c r="F29" s="79">
        <f>G29+K29</f>
        <v>1950.19</v>
      </c>
      <c r="G29" s="214">
        <f>ROUND('Додаток 1'!K49+'Додаток 3'!H34,2)</f>
        <v>1623.13</v>
      </c>
      <c r="H29" s="215"/>
      <c r="I29" s="79">
        <f t="shared" si="7"/>
        <v>0</v>
      </c>
      <c r="J29" s="79">
        <f t="shared" si="7"/>
        <v>0</v>
      </c>
      <c r="K29" s="73">
        <f>ROUND('Додаток 1'!AA49+'Додаток 3'!I34,2)</f>
        <v>327.06</v>
      </c>
      <c r="L29" s="5"/>
    </row>
    <row r="30" spans="1:12" ht="24.75" customHeight="1" thickBot="1">
      <c r="A30" s="102"/>
      <c r="B30" s="15">
        <v>5.2</v>
      </c>
      <c r="C30" s="39" t="s">
        <v>93</v>
      </c>
      <c r="D30" s="202" t="s">
        <v>21</v>
      </c>
      <c r="E30" s="203"/>
      <c r="F30" s="79">
        <v>0</v>
      </c>
      <c r="G30" s="216">
        <v>0</v>
      </c>
      <c r="H30" s="217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103</v>
      </c>
      <c r="D31" s="202" t="s">
        <v>21</v>
      </c>
      <c r="E31" s="203"/>
      <c r="F31" s="79">
        <f>G31+K31</f>
        <v>108.14</v>
      </c>
      <c r="G31" s="214">
        <f>ROUND('Додаток 1'!K51+'Додаток 3'!H36,2)</f>
        <v>90</v>
      </c>
      <c r="H31" s="215"/>
      <c r="I31" s="79">
        <v>0</v>
      </c>
      <c r="J31" s="79">
        <v>0</v>
      </c>
      <c r="K31" s="73">
        <f>ROUND('Додаток 1'!AA51+'Додаток 3'!I36,2)</f>
        <v>18.14</v>
      </c>
      <c r="L31" s="5"/>
    </row>
    <row r="32" spans="1:12" ht="133.5" customHeight="1" thickBot="1">
      <c r="A32" s="102"/>
      <c r="B32" s="15">
        <v>6</v>
      </c>
      <c r="C32" s="39" t="s">
        <v>104</v>
      </c>
      <c r="D32" s="202" t="s">
        <v>21</v>
      </c>
      <c r="E32" s="203"/>
      <c r="F32" s="37">
        <f>F33+F34+F35</f>
        <v>2058.33</v>
      </c>
      <c r="G32" s="210">
        <f t="shared" ref="G32:K32" si="8">G28</f>
        <v>1713.13</v>
      </c>
      <c r="H32" s="211"/>
      <c r="I32" s="37">
        <v>0</v>
      </c>
      <c r="J32" s="37">
        <v>0</v>
      </c>
      <c r="K32" s="37">
        <f t="shared" si="8"/>
        <v>345.2</v>
      </c>
      <c r="L32" s="5"/>
    </row>
    <row r="33" spans="1:12" ht="77.25" customHeight="1" thickBot="1">
      <c r="A33" s="102"/>
      <c r="B33" s="15">
        <v>6.1</v>
      </c>
      <c r="C33" s="39" t="s">
        <v>102</v>
      </c>
      <c r="D33" s="202" t="s">
        <v>21</v>
      </c>
      <c r="E33" s="203"/>
      <c r="F33" s="37">
        <f>F29</f>
        <v>1950.19</v>
      </c>
      <c r="G33" s="210">
        <f t="shared" ref="G33:K33" si="9">G29</f>
        <v>1623.13</v>
      </c>
      <c r="H33" s="211"/>
      <c r="I33" s="37">
        <f t="shared" si="9"/>
        <v>0</v>
      </c>
      <c r="J33" s="37">
        <f t="shared" si="9"/>
        <v>0</v>
      </c>
      <c r="K33" s="37">
        <f t="shared" si="9"/>
        <v>327.06</v>
      </c>
      <c r="L33" s="5"/>
    </row>
    <row r="34" spans="1:12" ht="33" customHeight="1" thickBot="1">
      <c r="A34" s="102"/>
      <c r="B34" s="15">
        <v>6.2</v>
      </c>
      <c r="C34" s="39" t="s">
        <v>93</v>
      </c>
      <c r="D34" s="202" t="s">
        <v>21</v>
      </c>
      <c r="E34" s="203"/>
      <c r="F34" s="37">
        <v>0</v>
      </c>
      <c r="G34" s="206">
        <v>0</v>
      </c>
      <c r="H34" s="207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103</v>
      </c>
      <c r="D35" s="202" t="s">
        <v>21</v>
      </c>
      <c r="E35" s="203"/>
      <c r="F35" s="37">
        <f>F31</f>
        <v>108.14</v>
      </c>
      <c r="G35" s="210">
        <f t="shared" ref="G35:K35" si="10">G32-G33-G34</f>
        <v>90</v>
      </c>
      <c r="H35" s="211"/>
      <c r="I35" s="37">
        <f t="shared" si="10"/>
        <v>0</v>
      </c>
      <c r="J35" s="37">
        <f t="shared" si="10"/>
        <v>0</v>
      </c>
      <c r="K35" s="37">
        <f t="shared" si="10"/>
        <v>18.139999999999986</v>
      </c>
      <c r="L35" s="5"/>
    </row>
    <row r="36" spans="1:12" ht="79.5" customHeight="1" thickBot="1">
      <c r="A36" s="102"/>
      <c r="B36" s="15">
        <v>7</v>
      </c>
      <c r="C36" s="39" t="s">
        <v>105</v>
      </c>
      <c r="D36" s="202" t="s">
        <v>57</v>
      </c>
      <c r="E36" s="203"/>
      <c r="F36" s="38">
        <f>F37+F38</f>
        <v>1125.7259999999999</v>
      </c>
      <c r="G36" s="218">
        <f t="shared" ref="G36:K36" si="11">G37+G38</f>
        <v>936.95899999999995</v>
      </c>
      <c r="H36" s="219"/>
      <c r="I36" s="38">
        <f t="shared" si="11"/>
        <v>0</v>
      </c>
      <c r="J36" s="38">
        <f t="shared" si="11"/>
        <v>0</v>
      </c>
      <c r="K36" s="38">
        <f t="shared" si="11"/>
        <v>188.767</v>
      </c>
      <c r="L36" s="5"/>
    </row>
    <row r="37" spans="1:12" ht="52.5" customHeight="1" thickBot="1">
      <c r="A37" s="102"/>
      <c r="B37" s="15">
        <v>7.1</v>
      </c>
      <c r="C37" s="39" t="s">
        <v>106</v>
      </c>
      <c r="D37" s="202" t="s">
        <v>57</v>
      </c>
      <c r="E37" s="203"/>
      <c r="F37" s="38">
        <f>G37+K37</f>
        <v>1125.7259999999999</v>
      </c>
      <c r="G37" s="220">
        <f>'Додаток 1'!K67</f>
        <v>936.95899999999995</v>
      </c>
      <c r="H37" s="221"/>
      <c r="I37" s="38">
        <v>0</v>
      </c>
      <c r="J37" s="38">
        <v>0</v>
      </c>
      <c r="K37" s="94">
        <f>'Додаток 1'!AA67</f>
        <v>188.767</v>
      </c>
      <c r="L37" s="5"/>
    </row>
    <row r="38" spans="1:12" ht="42.75" customHeight="1" thickBot="1">
      <c r="A38" s="102"/>
      <c r="B38" s="15">
        <v>7.2</v>
      </c>
      <c r="C38" s="39" t="s">
        <v>107</v>
      </c>
      <c r="D38" s="202" t="s">
        <v>57</v>
      </c>
      <c r="E38" s="203"/>
      <c r="F38" s="38">
        <v>0</v>
      </c>
      <c r="G38" s="222">
        <v>0</v>
      </c>
      <c r="H38" s="223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108</v>
      </c>
      <c r="D39" s="224"/>
      <c r="E39" s="225"/>
      <c r="F39" s="82" t="s">
        <v>127</v>
      </c>
      <c r="G39" s="226" t="s">
        <v>127</v>
      </c>
      <c r="H39" s="227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2"/>
      <c r="B40" s="15">
        <v>8.1</v>
      </c>
      <c r="C40" s="39" t="s">
        <v>109</v>
      </c>
      <c r="D40" s="202" t="s">
        <v>110</v>
      </c>
      <c r="E40" s="203"/>
      <c r="F40" s="79">
        <f>F15/F13*100</f>
        <v>5.5430377719968105</v>
      </c>
      <c r="G40" s="212">
        <f t="shared" ref="G40:K40" si="12">G15/G13*100</f>
        <v>5.5426862968527075</v>
      </c>
      <c r="H40" s="213"/>
      <c r="I40" s="79">
        <v>0</v>
      </c>
      <c r="J40" s="79">
        <v>0</v>
      </c>
      <c r="K40" s="79">
        <f t="shared" si="12"/>
        <v>5.5443376938872309</v>
      </c>
      <c r="L40" s="5"/>
    </row>
    <row r="41" spans="1:12" ht="33" customHeight="1" thickBot="1">
      <c r="A41" s="102"/>
      <c r="B41" s="15">
        <v>8.1999999999999993</v>
      </c>
      <c r="C41" s="39" t="s">
        <v>111</v>
      </c>
      <c r="D41" s="202" t="s">
        <v>110</v>
      </c>
      <c r="E41" s="203"/>
      <c r="F41" s="79">
        <v>0</v>
      </c>
      <c r="G41" s="212">
        <v>0</v>
      </c>
      <c r="H41" s="213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112</v>
      </c>
      <c r="D42" s="228" t="s">
        <v>110</v>
      </c>
      <c r="E42" s="150"/>
      <c r="F42" s="80">
        <f>F23/F21*100</f>
        <v>5.6130447418737948</v>
      </c>
      <c r="G42" s="229">
        <f t="shared" ref="G42:K42" si="13">G23/G21*100</f>
        <v>5.6029004976076449</v>
      </c>
      <c r="H42" s="230"/>
      <c r="I42" s="80">
        <v>0</v>
      </c>
      <c r="J42" s="80">
        <v>0</v>
      </c>
      <c r="K42" s="80">
        <f t="shared" si="13"/>
        <v>5.6089400570884882</v>
      </c>
      <c r="L42" s="5"/>
    </row>
    <row r="43" spans="1:12" ht="25.5" customHeight="1" thickBot="1">
      <c r="A43" s="102"/>
      <c r="B43" s="15">
        <v>8.4</v>
      </c>
      <c r="C43" s="57" t="s">
        <v>113</v>
      </c>
      <c r="D43" s="231" t="s">
        <v>110</v>
      </c>
      <c r="E43" s="232"/>
      <c r="F43" s="81">
        <f>F27/F25*100</f>
        <v>5.5452906998804936</v>
      </c>
      <c r="G43" s="233">
        <f t="shared" ref="G43:K43" si="14">G27/G25*100</f>
        <v>5.5446246455921475</v>
      </c>
      <c r="H43" s="234"/>
      <c r="I43" s="81">
        <v>0</v>
      </c>
      <c r="J43" s="81">
        <v>0</v>
      </c>
      <c r="K43" s="81">
        <f t="shared" si="14"/>
        <v>5.5464136763896628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35"/>
      <c r="C45" s="235"/>
      <c r="D45" s="235"/>
      <c r="E45" s="235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6" t="s">
        <v>154</v>
      </c>
      <c r="B46" s="246"/>
      <c r="C46" s="246"/>
      <c r="D46" s="246"/>
      <c r="E46" s="247"/>
      <c r="F46" s="247"/>
      <c r="G46" s="247"/>
      <c r="H46" s="248" t="s">
        <v>149</v>
      </c>
      <c r="I46" s="248"/>
      <c r="J46" s="248"/>
      <c r="K46" s="248"/>
      <c r="L46" s="248"/>
    </row>
    <row r="47" spans="1:12" ht="29.25" customHeight="1">
      <c r="A47" s="137"/>
      <c r="B47" s="137"/>
      <c r="C47" s="137"/>
      <c r="D47" s="137"/>
      <c r="E47" s="137" t="s">
        <v>64</v>
      </c>
      <c r="F47" s="137"/>
      <c r="G47" s="137"/>
      <c r="H47" s="137" t="s">
        <v>65</v>
      </c>
      <c r="I47" s="137"/>
      <c r="J47" s="137"/>
      <c r="K47" s="137"/>
      <c r="L47" s="137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4:K4"/>
    <mergeCell ref="H3:K3"/>
    <mergeCell ref="H2:I2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2021-06-07T13:37:07Z</cp:lastPrinted>
  <dcterms:created xsi:type="dcterms:W3CDTF">2020-02-19T15:30:08Z</dcterms:created>
  <dcterms:modified xsi:type="dcterms:W3CDTF">2021-06-07T13:37:32Z</dcterms:modified>
</cp:coreProperties>
</file>