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I39" i="2"/>
  <c r="I31" i="2"/>
  <c r="I29" i="2"/>
  <c r="I27" i="2"/>
  <c r="AA41" i="1" s="1"/>
  <c r="I25" i="2"/>
  <c r="AA38" i="1" s="1"/>
  <c r="H40" i="2"/>
  <c r="K55" i="1" s="1"/>
  <c r="H39" i="2"/>
  <c r="K54" i="1" s="1"/>
  <c r="H31" i="2"/>
  <c r="H29" i="2"/>
  <c r="H27" i="2"/>
  <c r="K41" i="1" s="1"/>
  <c r="K38" i="1"/>
  <c r="AA62" i="1"/>
  <c r="AA55" i="1"/>
  <c r="AA54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<sst xmlns="http://schemas.openxmlformats.org/spreadsheetml/2006/main" count="415" uniqueCount="157">
  <si>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</si>
  <si>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</si>
  <si>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</si>
  <si>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</si>
  <si>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</si>
  <si>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</si>
  <si>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</si>
  <si>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</si>
  <si>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</si>
  <si>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</si>
  <si>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</si>
  <si>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</si>
  <si>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</si>
  <si>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</si>
  <si>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</si>
  <si>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</si>
  <si>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</si>
  <si>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</si>
  <si>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</si>
  <si>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</si>
  <si>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</si>
  <si>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</si>
  <si>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</si>
  <si>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</si>
  <si>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</si>
  <si>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</si>
  <si>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</si>
  <si>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</si>
  <si>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</si>
  <si>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</si>
  <si>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</si>
  <si>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</si>
  <si>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</si>
  <si>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</si>
  <si>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</si>
  <si>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</si>
  <si>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</si>
  <si>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</si>
  <si>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</si>
  <si>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</si>
  <si>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</si>
  <si>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</si>
  <si>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</si>
  <si>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</si>
  <si>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</si>
  <si>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</si>
  <si>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</si>
  <si>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</si>
  <si>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</si>
  <si>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</si>
  <si>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</si>
  <si>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</si>
  <si>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</si>
  <si>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</si>
  <si>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</si>
  <si>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</si>
  <si>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</si>
  <si>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</si>
  <si>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</si>
  <si>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</si>
  <si>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</si>
  <si>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</si>
  <si>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</si>
  <si>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</si>
  <si>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</si>
  <si>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</si>
  <si>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</si>
  <si>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</si>
  <si>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</si>
  <si>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</si>
  <si>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</si>
  <si>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</si>
  <si>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</si>
  <si>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</si>
  <si>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</si>
  <si>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</si>
  <si>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</si>
  <si>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</si>
  <si>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</si>
  <si>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</si>
  <si>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</si>
  <si>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</si>
  <si>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</si>
  <si>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</si>
  <si>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</si>
  <si>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</si>
  <si>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</si>
  <si>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</si>
  <si>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</si>
  <si>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</si>
  <si>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</si>
  <si>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</si>
  <si>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</si>
  <si>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</si>
  <si>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</si>
  <si>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</si>
  <si>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</si>
  <si>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</si>
  <si>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</si>
  <si>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</si>
  <si>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</si>
  <si>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</si>
  <si>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</si>
  <si>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</si>
  <si>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</si>
  <si>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</si>
  <si>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</si>
  <si>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</si>
  <si>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</si>
  <si>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</si>
  <si>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</si>
  <si>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</si>
  <si>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</si>
  <si>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</si>
  <si>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</si>
  <si>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</si>
  <si>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</si>
  <si>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</si>
  <si>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</si>
  <si>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</si>
  <si>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</si>
  <si>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</si>
  <si>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</si>
  <si>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</si>
  <si>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</si>
  <si>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</si>
  <si>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</si>
  <si>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</si>
  <si>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</si>
  <si>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</si>
  <si>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</si>
  <si>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</si>
  <si>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</si>
  <si>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</si>
  <si>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</si>
  <si>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</si>
  <si>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</si>
  <si>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</si>
  <si>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</si>
  <si>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</si>
  <si>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</si>
  <si>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</si>
  <si>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</si>
  <si>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</si>
  <si>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за адресою: м.Вишневе  вул. Святошинська 27Д</t>
  </si>
  <si>
    <t xml:space="preserve">          за адресою: м.Вишневе  вул. Святошнська 27Д</t>
  </si>
  <si>
    <t xml:space="preserve">             за адресою: м.Вишневе  вул. Святошинська 27Д</t>
  </si>
  <si>
    <r>
      <t xml:space="preserve">Бучанського району від 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</si>
  <si>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>Керуюча справами</t>
  </si>
  <si>
    <t>О.ВДОВЕНКО</t>
  </si>
  <si>
    <t xml:space="preserve">              О.ВДОВЕНКО</t>
  </si>
  <si>
    <t xml:space="preserve">                                                              до рішення Виконавчого комітету Вишневої міської ради</t>
  </si>
  <si>
    <t xml:space="preserve">                                                              Додаток 3</t>
  </si>
  <si>
    <t xml:space="preserve">       Керуюча справами</t>
  </si>
  <si>
    <r>
      <t xml:space="preserve">                                                             Бучанського району від _________________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року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№ _______</t>
    </r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</si>
  <si>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</si>
  <si>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 xml:space="preserve">                                      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</si>
</sst>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9">
          <cell r="C9">
            <v>352.74599999999998</v>
          </cell>
          <cell r="D9">
            <v>59.738</v>
          </cell>
          <cell r="S9">
            <v>1.1200000000000001</v>
          </cell>
          <cell r="T9">
            <v>0.19</v>
          </cell>
          <cell r="V9">
            <v>66.39</v>
          </cell>
          <cell r="W9">
            <v>11.24</v>
          </cell>
          <cell r="AE9">
            <v>2.2799999999999998</v>
          </cell>
          <cell r="AF9">
            <v>0.39</v>
          </cell>
          <cell r="AH9">
            <v>12.97</v>
          </cell>
          <cell r="AI9">
            <v>2.2000000000000002</v>
          </cell>
          <cell r="AN9">
            <v>8.7100000000000009</v>
          </cell>
          <cell r="AO9">
            <v>1.48</v>
          </cell>
          <cell r="AT9">
            <v>31.71</v>
          </cell>
          <cell r="AU9">
            <v>5.37</v>
          </cell>
          <cell r="BC9">
            <v>27.22</v>
          </cell>
          <cell r="BD9">
            <v>4.57</v>
          </cell>
          <cell r="BI9">
            <v>6.77</v>
          </cell>
          <cell r="BJ9">
            <v>1.1399999999999999</v>
          </cell>
          <cell r="BO9">
            <v>14.11</v>
          </cell>
          <cell r="BP9">
            <v>2.39</v>
          </cell>
          <cell r="BU9">
            <v>1.18</v>
          </cell>
          <cell r="BV9">
            <v>0.2</v>
          </cell>
          <cell r="CG9">
            <v>0</v>
          </cell>
          <cell r="CH9">
            <v>0</v>
          </cell>
          <cell r="CJ9">
            <v>15.56</v>
          </cell>
          <cell r="CK9">
            <v>2.64</v>
          </cell>
          <cell r="DB9">
            <v>390300.53</v>
          </cell>
          <cell r="DC9">
            <v>66096.06</v>
          </cell>
          <cell r="DK9">
            <v>32178.74</v>
          </cell>
          <cell r="DL9">
            <v>5449.11</v>
          </cell>
          <cell r="DR9">
            <v>962.65</v>
          </cell>
          <cell r="DS9">
            <v>93.51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tabSelected="1" view="pageBreakPreview" zoomScale="60" workbookViewId="0">
      <pane xSplit="8" ySplit="12" topLeftCell="I58" activePane="bottomRight" state="frozen"/>
      <selection pane="topRight" activeCell="I1" sqref="I1"/>
      <selection pane="bottomLeft" activeCell="A13" sqref="A13"/>
      <selection pane="bottomRight" activeCell="T72" sqref="T72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3.25">
      <c r="A4" s="1"/>
      <c r="U4" s="239" t="s">
        <v>0</v>
      </c>
      <c r="V4" s="240"/>
      <c r="W4" s="240"/>
      <c r="X4" s="240"/>
      <c r="Y4" s="240"/>
      <c r="Z4" s="240"/>
      <c r="AA4" s="240"/>
    </row>
    <row r="5" spans="1:27" ht="23.25">
      <c r="A5" s="1"/>
      <c r="U5" s="239" t="s">
        <v>139</v>
      </c>
      <c r="V5" s="240"/>
      <c r="W5" s="240"/>
      <c r="X5" s="240"/>
      <c r="Y5" s="240"/>
      <c r="Z5" s="240"/>
      <c r="AA5" s="240"/>
    </row>
    <row r="6" spans="1:27" ht="23.25">
      <c r="A6" s="1"/>
      <c r="U6" s="239" t="s">
        <v>147</v>
      </c>
      <c r="V6" s="240"/>
      <c r="W6" s="240"/>
      <c r="X6" s="240"/>
      <c r="Y6" s="240"/>
      <c r="Z6" s="240"/>
      <c r="AA6" s="240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67</v>
      </c>
      <c r="H8" s="178" t="s">
        <v>140</v>
      </c>
      <c r="I8" s="179"/>
      <c r="J8" s="179"/>
      <c r="K8" s="179"/>
      <c r="L8" s="179"/>
      <c r="M8" s="179"/>
      <c r="N8" s="179"/>
    </row>
    <row r="9" spans="1:27" ht="29.25" customHeight="1" thickBot="1">
      <c r="H9" s="176" t="s">
        <v>144</v>
      </c>
      <c r="I9" s="176"/>
      <c r="J9" s="176"/>
      <c r="K9" s="176"/>
      <c r="L9" s="176"/>
      <c r="M9" s="177"/>
      <c r="N9" s="177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658.45999999999992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563.15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95.31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95.31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496.39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424.56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71.83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71.83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456.4</v>
      </c>
      <c r="H19" s="51">
        <v>0</v>
      </c>
      <c r="I19" s="51">
        <v>0</v>
      </c>
      <c r="J19" s="51">
        <v>0</v>
      </c>
      <c r="K19" s="68">
        <f>ROUND('[1]Витрати 20 -21'!$DB$9/1000,2)</f>
        <v>390.3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66.099999999999994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20 -21'!$DC$9/1000,2)</f>
        <v>66.099999999999994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37.630000000000003</v>
      </c>
      <c r="H20" s="51">
        <v>0</v>
      </c>
      <c r="I20" s="51">
        <v>0</v>
      </c>
      <c r="J20" s="51">
        <v>0</v>
      </c>
      <c r="K20" s="68">
        <f>ROUND('[1]Витрати 20 -21'!$DK$9/1000,2)</f>
        <v>32.18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5.45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20 -21'!$DL$9/1000,2)</f>
        <v>5.45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1.05</v>
      </c>
      <c r="H22" s="51">
        <v>0</v>
      </c>
      <c r="I22" s="51">
        <v>0</v>
      </c>
      <c r="J22" s="51">
        <v>0</v>
      </c>
      <c r="K22" s="68">
        <f>ROUND('[1]Витрати 20 -21'!$DR$9/1000,2)</f>
        <v>0.96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0.09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20 -21'!$DS$9/1000,2)</f>
        <v>0.09</v>
      </c>
    </row>
    <row r="23" spans="1:28" ht="24.75" customHeight="1" thickBot="1">
      <c r="A23" s="150" t="s">
        <v>118</v>
      </c>
      <c r="B23" s="46" t="s">
        <v>125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1.31</v>
      </c>
      <c r="H23" s="51"/>
      <c r="I23" s="51"/>
      <c r="J23" s="51"/>
      <c r="K23" s="141">
        <f>ROUND('[1]Витрати 20 -21'!$S$9,2)</f>
        <v>1.1200000000000001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0.19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20 -21'!$T$9,2)</f>
        <v>0.19</v>
      </c>
    </row>
    <row r="24" spans="1:28" ht="30.75" customHeight="1" thickBot="1">
      <c r="A24" s="151"/>
      <c r="B24" s="46" t="s">
        <v>126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77.63</v>
      </c>
      <c r="H25" s="51"/>
      <c r="I25" s="51"/>
      <c r="J25" s="51"/>
      <c r="K25" s="141">
        <f>ROUND('[1]Витрати 20 -21'!$V$9,2)</f>
        <v>66.39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11.24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20 -21'!$W$9,2)</f>
        <v>11.24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34.92</v>
      </c>
      <c r="H27" s="51">
        <v>0</v>
      </c>
      <c r="I27" s="51">
        <v>0</v>
      </c>
      <c r="J27" s="51">
        <v>0</v>
      </c>
      <c r="K27" s="51">
        <f>ROUND(K28+K29+K30+K31,2)</f>
        <v>29.86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5.0600000000000005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5.0599999999999996</v>
      </c>
    </row>
    <row r="28" spans="1:28" ht="20.25" customHeight="1" thickBot="1">
      <c r="A28" s="163" t="s">
        <v>119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17.079999999999998</v>
      </c>
      <c r="H28" s="51"/>
      <c r="I28" s="51"/>
      <c r="J28" s="51"/>
      <c r="K28" s="124">
        <f>ROUND(K25*22%,2)</f>
        <v>14.61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2.4700000000000002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2.4700000000000002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2.67</v>
      </c>
      <c r="H30" s="51">
        <v>0</v>
      </c>
      <c r="I30" s="51">
        <v>0</v>
      </c>
      <c r="J30" s="51">
        <v>0</v>
      </c>
      <c r="K30" s="68">
        <f>ROUND('[1]Витрати 20 -21'!$AE$9,2)</f>
        <v>2.2799999999999998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0.39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20 -21'!$AF$9,2)</f>
        <v>0.39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15.170000000000002</v>
      </c>
      <c r="H31" s="51">
        <v>0</v>
      </c>
      <c r="I31" s="51">
        <v>0</v>
      </c>
      <c r="J31" s="51">
        <v>0</v>
      </c>
      <c r="K31" s="68">
        <f>ROUND('[1]Витрати 20 -21'!$AH$9,2)</f>
        <v>12.97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2.2000000000000002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20 -21'!$AI$9,2)</f>
        <v>2.2000000000000002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49.52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42.34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7.18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7.18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10.190000000000001</v>
      </c>
      <c r="H33" s="51">
        <v>0</v>
      </c>
      <c r="I33" s="51">
        <v>0</v>
      </c>
      <c r="J33" s="51">
        <v>0</v>
      </c>
      <c r="K33" s="68">
        <f>ROUND('[1]Витрати 20 -21'!$AN$9,2)</f>
        <v>8.7100000000000009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1.48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20 -21'!$AO$9,2)</f>
        <v>1.48</v>
      </c>
    </row>
    <row r="34" spans="1:27" ht="20.25">
      <c r="A34" s="161" t="s">
        <v>123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2.25</v>
      </c>
      <c r="H34" s="124">
        <v>0</v>
      </c>
      <c r="I34" s="124">
        <v>0</v>
      </c>
      <c r="J34" s="124">
        <v>0</v>
      </c>
      <c r="K34" s="167">
        <f>ROUND(K33*22%,2)</f>
        <v>1.92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0.33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0.33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37.08</v>
      </c>
      <c r="H36" s="51">
        <v>0</v>
      </c>
      <c r="I36" s="51">
        <v>0</v>
      </c>
      <c r="J36" s="51">
        <v>0</v>
      </c>
      <c r="K36" s="68">
        <f>ROUND('[1]Витрати 20 -21'!$AT$9,2)</f>
        <v>31.71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5.37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20 -21'!$AU$9,2)</f>
        <v>5.37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45.160000000000004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38.67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6.49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6.49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30.75</v>
      </c>
      <c r="H38" s="51">
        <v>0</v>
      </c>
      <c r="I38" s="51">
        <v>0</v>
      </c>
      <c r="J38" s="51">
        <v>0</v>
      </c>
      <c r="K38" s="68">
        <f>ROUND('[1]Витрати 20 -21'!$BC$9-'Додаток 3'!H25,2)</f>
        <v>26.33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4.42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20 -21'!$BD$9-'Додаток 3'!I25,2)</f>
        <v>4.42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6.76</v>
      </c>
      <c r="H39" s="124">
        <v>0</v>
      </c>
      <c r="I39" s="124">
        <v>0</v>
      </c>
      <c r="J39" s="124">
        <v>0</v>
      </c>
      <c r="K39" s="167">
        <f>ROUND(K38*22%,2)</f>
        <v>5.79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0.97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0.97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7.65</v>
      </c>
      <c r="H41" s="51">
        <v>0</v>
      </c>
      <c r="I41" s="51">
        <v>0</v>
      </c>
      <c r="J41" s="51">
        <v>0</v>
      </c>
      <c r="K41" s="68">
        <f>ROUND('[1]Витрати 20 -21'!$BI$9-'Додаток 3'!H27,2)</f>
        <v>6.55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1.1000000000000001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20 -21'!$BJ$9-'Додаток 3'!I27,2)</f>
        <v>1.1000000000000001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41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24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42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25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703.62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601.82000000000005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101.8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101.8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38.64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33.04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5.6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5.6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6.96</v>
      </c>
      <c r="H52" s="75" t="s">
        <v>46</v>
      </c>
      <c r="I52" s="75" t="s">
        <v>46</v>
      </c>
      <c r="J52" s="51">
        <v>0</v>
      </c>
      <c r="K52" s="37">
        <f>ROUND(18%*(K53+K54+K55+K57)/82%,2)</f>
        <v>5.95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1.01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1.01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17.600000000000001</v>
      </c>
      <c r="H54" s="75" t="s">
        <v>46</v>
      </c>
      <c r="I54" s="75" t="s">
        <v>46</v>
      </c>
      <c r="J54" s="51">
        <v>0</v>
      </c>
      <c r="K54" s="68">
        <f>ROUND('[1]Витрати 20 -21'!$CJ$9-'Додаток 3'!H39,2)</f>
        <v>15.05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2.5499999999999998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20 -21'!$CK$9-'Додаток 3'!I39,2)</f>
        <v>2.5499999999999998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0</v>
      </c>
      <c r="H55" s="144" t="s">
        <v>46</v>
      </c>
      <c r="I55" s="144" t="s">
        <v>46</v>
      </c>
      <c r="J55" s="124">
        <v>0</v>
      </c>
      <c r="K55" s="141">
        <f>ROUND('[1]Витрати 20 -21'!$CG$9-'Додаток 3'!H40,2)</f>
        <v>0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127</v>
      </c>
      <c r="Q55" s="144" t="s">
        <v>46</v>
      </c>
      <c r="R55" s="122">
        <f t="shared" si="9"/>
        <v>0</v>
      </c>
      <c r="S55" s="122">
        <f t="shared" si="10"/>
        <v>0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41">
        <f>ROUND('[1]Витрати 20 -21'!$CH$9-'Додаток 3'!I40,2)</f>
        <v>0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42"/>
    </row>
    <row r="57" spans="1:28" ht="29.25" customHeight="1" thickBot="1">
      <c r="A57" s="15">
        <v>8.5</v>
      </c>
      <c r="B57" s="39" t="s">
        <v>135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14.079999999999998</v>
      </c>
      <c r="H57" s="75" t="s">
        <v>46</v>
      </c>
      <c r="I57" s="75" t="s">
        <v>46</v>
      </c>
      <c r="J57" s="51">
        <v>0</v>
      </c>
      <c r="K57" s="37">
        <f>ROUND(K49*2%,2)</f>
        <v>12.04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2.04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2.04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742.26</v>
      </c>
      <c r="H58" s="51">
        <v>0</v>
      </c>
      <c r="I58" s="51">
        <v>0</v>
      </c>
      <c r="J58" s="51">
        <v>0</v>
      </c>
      <c r="K58" s="51">
        <f>ROUND(K49+K51,2)</f>
        <v>634.86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107.4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107.4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1799.4879801398358</v>
      </c>
      <c r="H59" s="51">
        <v>0</v>
      </c>
      <c r="I59" s="51">
        <v>0</v>
      </c>
      <c r="J59" s="51">
        <v>0</v>
      </c>
      <c r="K59" s="51">
        <f>ROUND(K58/K62*1000,2)</f>
        <v>1799.77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1797.85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1797.85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1106.4671599383248</v>
      </c>
      <c r="H60" s="51">
        <v>0</v>
      </c>
      <c r="I60" s="51">
        <v>0</v>
      </c>
      <c r="J60" s="51">
        <v>0</v>
      </c>
      <c r="K60" s="51">
        <f>ROUND(K19/K62*1000,2)</f>
        <v>1106.46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1106.5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1106.5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693.02082020151101</v>
      </c>
      <c r="H61" s="51">
        <v>0</v>
      </c>
      <c r="I61" s="51">
        <v>0</v>
      </c>
      <c r="J61" s="51">
        <v>0</v>
      </c>
      <c r="K61" s="51">
        <f>ROUND(K59-K60,2)</f>
        <v>693.31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691.35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691.35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412.48399999999998</v>
      </c>
      <c r="H62" s="51">
        <v>0</v>
      </c>
      <c r="I62" s="51">
        <v>0</v>
      </c>
      <c r="J62" s="51">
        <v>0</v>
      </c>
      <c r="K62" s="83">
        <f>ROUND('[1]Витрати 20 -21'!$C$9,3)</f>
        <v>352.74599999999998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59.738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20 -21'!$D$9,3)</f>
        <v>59.738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412.48399999999998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352.74599999999998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59.738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59.738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1705.8116193597814</v>
      </c>
      <c r="H68" s="51">
        <v>0</v>
      </c>
      <c r="I68" s="51">
        <v>0</v>
      </c>
      <c r="J68" s="51">
        <v>0</v>
      </c>
      <c r="K68" s="51">
        <f>ROUND(K49/K67*1000,2)</f>
        <v>1706.1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1704.11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1704.11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5"/>
      <c r="C74" s="17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4"/>
      <c r="W74" s="174"/>
      <c r="X74" s="174"/>
      <c r="Y74" s="174"/>
      <c r="Z74" s="174"/>
      <c r="AA74" s="21"/>
      <c r="AB74" s="21"/>
    </row>
    <row r="75" spans="1:28" s="59" customFormat="1" ht="18.75" customHeight="1">
      <c r="A75" s="241"/>
      <c r="B75" s="242" t="s">
        <v>148</v>
      </c>
      <c r="C75" s="243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 t="s">
        <v>150</v>
      </c>
      <c r="X75" s="244"/>
      <c r="Y75" s="244"/>
      <c r="Z75" s="244"/>
      <c r="AA75" s="244"/>
      <c r="AB75" s="244"/>
    </row>
    <row r="76" spans="1:28" ht="25.5" customHeight="1">
      <c r="A76" s="173"/>
      <c r="B76" s="173"/>
      <c r="C76" s="173"/>
      <c r="D76" s="17"/>
      <c r="E76" s="17"/>
      <c r="F76" s="17"/>
      <c r="G76" s="17"/>
      <c r="H76" s="17"/>
      <c r="I76" s="173" t="s">
        <v>64</v>
      </c>
      <c r="J76" s="173"/>
      <c r="K76" s="173"/>
      <c r="L76" s="173"/>
      <c r="M76" s="173"/>
      <c r="N76" s="17"/>
      <c r="O76" s="17"/>
      <c r="P76" s="17"/>
      <c r="Q76" s="17"/>
      <c r="R76" s="17"/>
      <c r="S76" s="17"/>
      <c r="T76" s="17"/>
      <c r="U76" s="17"/>
      <c r="V76" s="173" t="s">
        <v>65</v>
      </c>
      <c r="W76" s="173"/>
      <c r="X76" s="173"/>
      <c r="Y76" s="173"/>
      <c r="Z76" s="173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46" zoomScale="60" workbookViewId="0">
      <selection activeCell="A53" sqref="A53:B5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5" t="s">
        <v>152</v>
      </c>
      <c r="B3" s="245"/>
      <c r="C3" s="245"/>
      <c r="D3" s="245"/>
      <c r="E3" s="245"/>
      <c r="F3" s="245"/>
      <c r="G3" s="245"/>
    </row>
    <row r="4" spans="1:9" ht="21" customHeight="1">
      <c r="A4" s="245" t="s">
        <v>151</v>
      </c>
      <c r="B4" s="245"/>
      <c r="C4" s="245"/>
      <c r="D4" s="245"/>
      <c r="E4" s="245"/>
      <c r="F4" s="245"/>
      <c r="G4" s="245"/>
    </row>
    <row r="5" spans="1:9" ht="21" customHeight="1">
      <c r="A5" s="245" t="s">
        <v>154</v>
      </c>
      <c r="B5" s="245"/>
      <c r="C5" s="245"/>
      <c r="D5" s="245"/>
      <c r="E5" s="245"/>
      <c r="F5" s="245"/>
      <c r="G5" s="245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0"/>
      <c r="B7" s="180"/>
      <c r="C7" s="180"/>
      <c r="D7" s="180"/>
      <c r="E7" s="180"/>
      <c r="F7" s="180"/>
      <c r="G7" s="180"/>
    </row>
    <row r="8" spans="1:9" ht="18.75" customHeight="1">
      <c r="A8" s="180" t="s">
        <v>141</v>
      </c>
      <c r="B8" s="180"/>
      <c r="C8" s="180"/>
      <c r="D8" s="180"/>
      <c r="E8" s="180"/>
      <c r="F8" s="180"/>
      <c r="G8" s="180"/>
    </row>
    <row r="9" spans="1:9" ht="24" thickBot="1">
      <c r="A9" s="59"/>
      <c r="B9" s="181" t="s">
        <v>145</v>
      </c>
      <c r="C9" s="181"/>
      <c r="D9" s="182"/>
      <c r="E9" s="182"/>
      <c r="F9" s="182"/>
      <c r="G9" s="60" t="s">
        <v>86</v>
      </c>
    </row>
    <row r="10" spans="1:9" ht="24" thickBot="1">
      <c r="A10" s="61"/>
      <c r="B10" s="62"/>
      <c r="C10" s="107"/>
      <c r="D10" s="183" t="s">
        <v>69</v>
      </c>
      <c r="E10" s="184"/>
      <c r="F10" s="184"/>
      <c r="G10" s="184"/>
      <c r="H10" s="185"/>
      <c r="I10" s="186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136</v>
      </c>
      <c r="H11" s="118" t="s">
        <v>137</v>
      </c>
      <c r="I11" s="119" t="s">
        <v>138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1.53</v>
      </c>
      <c r="H24" s="88">
        <f>ROUND(H25+H26+H27,2)</f>
        <v>1.31</v>
      </c>
      <c r="I24" s="88">
        <f>ROUND(I25+I26+I27,2)</f>
        <v>0.22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1.04</v>
      </c>
      <c r="H25" s="89">
        <f>ROUND('[1]Витрати 20 -21'!$BC$9*'[1]Витрати 20 -21'!$BL$28%,2)</f>
        <v>0.89</v>
      </c>
      <c r="I25" s="89">
        <f>ROUND('[1]Витрати 20 -21'!$BD$9*'[1]Витрати 20 -21'!$BM$28%,2)</f>
        <v>0.15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0.23</v>
      </c>
      <c r="H26" s="88">
        <f>ROUND(H25*22%,2)</f>
        <v>0.2</v>
      </c>
      <c r="I26" s="88">
        <f>ROUND(I25*22%,2)</f>
        <v>0.03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0.26</v>
      </c>
      <c r="H27" s="89">
        <f>ROUND('[1]Витрати 20 -21'!$BI$9*'[1]Витрати 20 -21'!$BL$28%,2)</f>
        <v>0.22</v>
      </c>
      <c r="I27" s="93">
        <f>ROUND('[1]Витрати 20 -21'!$BJ$9*'[1]Витрати 20 -21'!$BM$28%,2)</f>
        <v>0.04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21.51</v>
      </c>
      <c r="H28" s="88">
        <f>ROUND(H29+H30+H31,2)</f>
        <v>18.39</v>
      </c>
      <c r="I28" s="88">
        <f>ROUND(I29+I30+I31,2)</f>
        <v>3.12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16.5</v>
      </c>
      <c r="H29" s="89">
        <f>ROUND('[1]Витрати 20 -21'!$BO$9,2)</f>
        <v>14.11</v>
      </c>
      <c r="I29" s="89">
        <f>ROUND('[1]Витрати 20 -21'!$BP$9,2)</f>
        <v>2.39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3.63</v>
      </c>
      <c r="H30" s="88">
        <f>ROUND(H29*22%,2)</f>
        <v>3.1</v>
      </c>
      <c r="I30" s="88">
        <f>ROUND(I29*22%,2)</f>
        <v>0.53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1.38</v>
      </c>
      <c r="H31" s="89">
        <f>ROUND('[1]Витрати 20 -21'!$BU$9,2)</f>
        <v>1.18</v>
      </c>
      <c r="I31" s="89">
        <f>ROUND('[1]Витрати 20 -21'!$BV$9,2)</f>
        <v>0.2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23.04</v>
      </c>
      <c r="H34" s="88">
        <f>ROUND(H13+H24+H28+H32+H33,2)</f>
        <v>19.7</v>
      </c>
      <c r="I34" s="88">
        <f>ROUND(I13+I24+I28+I32+I33,2)</f>
        <v>3.34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1.3</v>
      </c>
      <c r="H36" s="88">
        <f>ROUND(H37+H38+H39+H40+H41,2)</f>
        <v>1.1000000000000001</v>
      </c>
      <c r="I36" s="88">
        <f>ROUND(I37+I38+I39+I40+I41,2)</f>
        <v>0.2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0.24000000000000002</v>
      </c>
      <c r="H37" s="91">
        <f>ROUND(18%*(H38+H39+H40+H41)/82%,2)</f>
        <v>0.2</v>
      </c>
      <c r="I37" s="91">
        <f>ROUND(18%*(I38+I39+I40+I41)/82%,2)</f>
        <v>0.04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0.6</v>
      </c>
      <c r="H39" s="89">
        <f>ROUND('[1]Витрати 20 -21'!$CJ$9*'[1]Витрати 20 -21'!$BL$28%,2)</f>
        <v>0.51</v>
      </c>
      <c r="I39" s="89">
        <f>ROUND('[1]Витрати 20 -21'!$CK$9*'[1]Витрати 20 -21'!$BM$28%,2)</f>
        <v>0.09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20 -21'!$CG$9*'[1]Витрати 20 -21'!$BL$28%,2)</f>
        <v>0</v>
      </c>
      <c r="I40" s="89">
        <f>ROUND('[1]Витрати 20 -21'!$CH$9*'[1]Витрати 20 -21'!$BM$28%,2)</f>
        <v>0</v>
      </c>
    </row>
    <row r="41" spans="1:9" ht="46.5" customHeight="1" thickBot="1">
      <c r="A41" s="6">
        <v>8.5</v>
      </c>
      <c r="B41" s="39" t="s">
        <v>135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0.46</v>
      </c>
      <c r="H41" s="88">
        <f>ROUND(H34*2%,2)</f>
        <v>0.39</v>
      </c>
      <c r="I41" s="88">
        <f>ROUND(I34*2%,2)</f>
        <v>7.0000000000000007E-2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24.34</v>
      </c>
      <c r="H42" s="88">
        <f>ROUND(H34+H36,2)</f>
        <v>20.8</v>
      </c>
      <c r="I42" s="88">
        <f>ROUND(I34+I36,2)</f>
        <v>3.54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59.008349414765185</v>
      </c>
      <c r="H43" s="88">
        <f>ROUND(H42/H44*1000,2)</f>
        <v>58.97</v>
      </c>
      <c r="I43" s="88">
        <f>ROUND(I42/I44*1000,2)</f>
        <v>59.26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412.48399999999998</v>
      </c>
      <c r="H44" s="96">
        <f>ROUND('Додаток 1'!K67,3)</f>
        <v>352.74599999999998</v>
      </c>
      <c r="I44" s="96">
        <f>ROUND('Додаток 1'!AA67,3)</f>
        <v>59.738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352.75</v>
      </c>
      <c r="H45" s="88">
        <f>ROUND(H44,2)</f>
        <v>352.75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59.738</v>
      </c>
      <c r="H48" s="88">
        <v>0</v>
      </c>
      <c r="I48" s="95">
        <f>I44</f>
        <v>59.738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6"/>
      <c r="B52" s="244" t="s">
        <v>153</v>
      </c>
      <c r="C52" s="244"/>
      <c r="D52" s="244"/>
      <c r="E52" s="244"/>
      <c r="F52" s="247" t="s">
        <v>149</v>
      </c>
      <c r="G52" s="247"/>
      <c r="J52" s="101"/>
    </row>
    <row r="53" spans="1:10" ht="25.5" customHeight="1">
      <c r="A53" s="173"/>
      <c r="B53" s="173"/>
      <c r="C53" s="17"/>
      <c r="D53" s="29" t="s">
        <v>64</v>
      </c>
      <c r="E53" s="17"/>
      <c r="F53" s="173" t="s">
        <v>65</v>
      </c>
      <c r="G53" s="173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view="pageBreakPreview" topLeftCell="A40" zoomScale="60" workbookViewId="0">
      <selection activeCell="A47" sqref="A47:D4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132</v>
      </c>
      <c r="G2" s="11"/>
      <c r="H2" s="245" t="s">
        <v>133</v>
      </c>
      <c r="I2" s="121"/>
      <c r="J2" s="242"/>
      <c r="K2" s="242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248" t="s">
        <v>131</v>
      </c>
      <c r="I3" s="121"/>
      <c r="J3" s="121"/>
      <c r="K3" s="121"/>
    </row>
    <row r="4" spans="1:12" ht="23.25" customHeight="1">
      <c r="A4" s="98" t="s">
        <v>134</v>
      </c>
      <c r="G4" s="11"/>
      <c r="H4" s="245" t="s">
        <v>155</v>
      </c>
      <c r="I4" s="121"/>
      <c r="J4" s="121"/>
      <c r="K4" s="121"/>
    </row>
    <row r="5" spans="1:12">
      <c r="A5" s="100"/>
    </row>
    <row r="6" spans="1:12" ht="25.5" customHeight="1">
      <c r="A6" s="180" t="s">
        <v>142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</row>
    <row r="7" spans="1:12" ht="25.5" customHeight="1">
      <c r="A7" s="180" t="s">
        <v>143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2" ht="24" thickBot="1">
      <c r="A8" s="101"/>
      <c r="B8" s="59"/>
      <c r="C8" s="59"/>
      <c r="D8" s="63" t="s">
        <v>146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30" t="s">
        <v>68</v>
      </c>
      <c r="C9" s="230" t="s">
        <v>88</v>
      </c>
      <c r="D9" s="232" t="s">
        <v>5</v>
      </c>
      <c r="E9" s="233"/>
      <c r="F9" s="230" t="s">
        <v>6</v>
      </c>
      <c r="G9" s="236" t="s">
        <v>89</v>
      </c>
      <c r="H9" s="237"/>
      <c r="I9" s="237"/>
      <c r="J9" s="237"/>
      <c r="K9" s="238"/>
      <c r="L9" s="5"/>
    </row>
    <row r="10" spans="1:12" ht="58.5" customHeight="1" thickBot="1">
      <c r="A10" s="102"/>
      <c r="B10" s="231"/>
      <c r="C10" s="231"/>
      <c r="D10" s="234"/>
      <c r="E10" s="235"/>
      <c r="F10" s="231"/>
      <c r="G10" s="236" t="s">
        <v>81</v>
      </c>
      <c r="H10" s="238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28">
        <v>3</v>
      </c>
      <c r="E11" s="229"/>
      <c r="F11" s="16">
        <v>4</v>
      </c>
      <c r="G11" s="228">
        <v>5</v>
      </c>
      <c r="H11" s="229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222" t="s">
        <v>53</v>
      </c>
      <c r="E12" s="223"/>
      <c r="F12" s="66">
        <f>ROUND('Додаток 1'!G59,2)</f>
        <v>1799.49</v>
      </c>
      <c r="G12" s="224">
        <f>ROUND('Додаток 1'!K59,2)</f>
        <v>1799.77</v>
      </c>
      <c r="H12" s="225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1797.85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188" t="s">
        <v>53</v>
      </c>
      <c r="E13" s="189"/>
      <c r="F13" s="51">
        <f>('Додаток 1'!G49)/F37*1000</f>
        <v>1705.8116193597814</v>
      </c>
      <c r="G13" s="226">
        <f>('Додаток 1'!K49)/G37*1000</f>
        <v>1706.1001400441114</v>
      </c>
      <c r="H13" s="227"/>
      <c r="I13" s="51">
        <v>0</v>
      </c>
      <c r="J13" s="51">
        <v>0</v>
      </c>
      <c r="K13" s="53">
        <f>('Додаток 1'!AA49)/K37*1000</f>
        <v>1704.1079379959153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188" t="s">
        <v>21</v>
      </c>
      <c r="E14" s="189"/>
      <c r="F14" s="37">
        <v>0</v>
      </c>
      <c r="G14" s="214">
        <v>0</v>
      </c>
      <c r="H14" s="215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188" t="s">
        <v>53</v>
      </c>
      <c r="E15" s="189"/>
      <c r="F15" s="51">
        <f>F12-F13</f>
        <v>93.67838064021862</v>
      </c>
      <c r="G15" s="220">
        <f>G12-G13</f>
        <v>93.669859955888569</v>
      </c>
      <c r="H15" s="221"/>
      <c r="I15" s="51">
        <v>0</v>
      </c>
      <c r="J15" s="51">
        <v>0</v>
      </c>
      <c r="K15" s="51">
        <f>K12-K13</f>
        <v>93.742062004084573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222" t="s">
        <v>53</v>
      </c>
      <c r="E16" s="223"/>
      <c r="F16" s="66">
        <f>F17+F18+F19</f>
        <v>0</v>
      </c>
      <c r="G16" s="224">
        <f t="shared" ref="G16:K16" si="1">G17+G18+G19</f>
        <v>0</v>
      </c>
      <c r="H16" s="225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188" t="s">
        <v>53</v>
      </c>
      <c r="E17" s="189"/>
      <c r="F17" s="37">
        <f>G17+I17+J17+K17</f>
        <v>0</v>
      </c>
      <c r="G17" s="214">
        <v>0</v>
      </c>
      <c r="H17" s="215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188" t="s">
        <v>21</v>
      </c>
      <c r="E18" s="189"/>
      <c r="F18" s="37">
        <f>G18+I18+J18+K18</f>
        <v>0</v>
      </c>
      <c r="G18" s="214">
        <v>0</v>
      </c>
      <c r="H18" s="215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188" t="s">
        <v>53</v>
      </c>
      <c r="E19" s="189"/>
      <c r="F19" s="37">
        <f>G19+I19+J19+K19</f>
        <v>0</v>
      </c>
      <c r="G19" s="214">
        <v>0</v>
      </c>
      <c r="H19" s="215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222" t="s">
        <v>53</v>
      </c>
      <c r="E20" s="223"/>
      <c r="F20" s="66">
        <f>ROUND('Додаток 3'!G43,2)</f>
        <v>59.01</v>
      </c>
      <c r="G20" s="224">
        <f>ROUND('Додаток 3'!H43,2)</f>
        <v>58.97</v>
      </c>
      <c r="H20" s="225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59.26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188" t="s">
        <v>53</v>
      </c>
      <c r="E21" s="189"/>
      <c r="F21" s="51">
        <f>('Додаток 3'!G34)/F37*1000</f>
        <v>55.856712017920692</v>
      </c>
      <c r="G21" s="226">
        <f>('Додаток 3'!H34)/G37*1000</f>
        <v>55.847550362016861</v>
      </c>
      <c r="H21" s="227"/>
      <c r="I21" s="51">
        <v>0</v>
      </c>
      <c r="J21" s="51">
        <v>0</v>
      </c>
      <c r="K21" s="51">
        <f>('Додаток 3'!I34)/K37*1000</f>
        <v>55.910810539355182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188" t="s">
        <v>21</v>
      </c>
      <c r="E22" s="189"/>
      <c r="F22" s="37">
        <f t="shared" ref="F22:F26" si="3">G22+I22+J22+K22</f>
        <v>0</v>
      </c>
      <c r="G22" s="214">
        <v>0</v>
      </c>
      <c r="H22" s="215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188" t="s">
        <v>53</v>
      </c>
      <c r="E23" s="189"/>
      <c r="F23" s="51">
        <f>F20-F21</f>
        <v>3.1532879820793056</v>
      </c>
      <c r="G23" s="220">
        <f>G20-G21</f>
        <v>3.1224496379831379</v>
      </c>
      <c r="H23" s="221"/>
      <c r="I23" s="51">
        <v>0</v>
      </c>
      <c r="J23" s="51">
        <v>0</v>
      </c>
      <c r="K23" s="51">
        <f>K20-K21</f>
        <v>3.3491894606448156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222" t="s">
        <v>53</v>
      </c>
      <c r="E24" s="223"/>
      <c r="F24" s="66">
        <f>F12+F16+F20</f>
        <v>1858.5</v>
      </c>
      <c r="G24" s="224">
        <f>G12+G16+G20</f>
        <v>1858.74</v>
      </c>
      <c r="H24" s="225"/>
      <c r="I24" s="66">
        <f t="shared" ref="I24:J24" si="4">I12+I20</f>
        <v>0</v>
      </c>
      <c r="J24" s="66">
        <f t="shared" si="4"/>
        <v>0</v>
      </c>
      <c r="K24" s="66">
        <f>K12+K16+K20</f>
        <v>1857.11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188" t="s">
        <v>53</v>
      </c>
      <c r="E25" s="189"/>
      <c r="F25" s="37">
        <f>F13+F17+F21</f>
        <v>1761.6683313777021</v>
      </c>
      <c r="G25" s="208">
        <f>G13+G17+G21</f>
        <v>1761.9476904061282</v>
      </c>
      <c r="H25" s="209"/>
      <c r="I25" s="37">
        <f t="shared" ref="I25:K25" si="5">I13+I17+I21</f>
        <v>0</v>
      </c>
      <c r="J25" s="37">
        <f t="shared" si="5"/>
        <v>0</v>
      </c>
      <c r="K25" s="37">
        <f t="shared" si="5"/>
        <v>1760.0187485352706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188" t="s">
        <v>21</v>
      </c>
      <c r="E26" s="189"/>
      <c r="F26" s="37">
        <f t="shared" si="3"/>
        <v>0</v>
      </c>
      <c r="G26" s="214">
        <f>G14+G18+G22</f>
        <v>0</v>
      </c>
      <c r="H26" s="215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188" t="s">
        <v>53</v>
      </c>
      <c r="E27" s="189"/>
      <c r="F27" s="37">
        <f>F15+F19+F23</f>
        <v>96.831668622297926</v>
      </c>
      <c r="G27" s="208">
        <f>G15+G19+G23</f>
        <v>96.792309593871707</v>
      </c>
      <c r="H27" s="209"/>
      <c r="I27" s="37">
        <v>0</v>
      </c>
      <c r="J27" s="37">
        <f t="shared" ref="J27" si="6">J24-J25-J26</f>
        <v>0</v>
      </c>
      <c r="K27" s="37">
        <f>K15+K19+K23</f>
        <v>97.091251464729396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188" t="s">
        <v>21</v>
      </c>
      <c r="E28" s="189"/>
      <c r="F28" s="37">
        <f>F29+F30+F31</f>
        <v>766.59999999999991</v>
      </c>
      <c r="G28" s="190">
        <f>G29+G30+G31</f>
        <v>655.66</v>
      </c>
      <c r="H28" s="191"/>
      <c r="I28" s="79">
        <f t="shared" ref="I28:J29" si="7">I29+I30+I31</f>
        <v>0</v>
      </c>
      <c r="J28" s="79">
        <f t="shared" si="7"/>
        <v>0</v>
      </c>
      <c r="K28" s="79">
        <f>K29+K30+K31</f>
        <v>110.94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188" t="s">
        <v>21</v>
      </c>
      <c r="E29" s="189"/>
      <c r="F29" s="79">
        <f>G29+K29</f>
        <v>726.66</v>
      </c>
      <c r="G29" s="216">
        <f>ROUND('Додаток 1'!K49+'Додаток 3'!H34,2)</f>
        <v>621.52</v>
      </c>
      <c r="H29" s="217"/>
      <c r="I29" s="79">
        <f t="shared" si="7"/>
        <v>0</v>
      </c>
      <c r="J29" s="79">
        <f t="shared" si="7"/>
        <v>0</v>
      </c>
      <c r="K29" s="73">
        <f>ROUND('Додаток 1'!AA49+'Додаток 3'!I34,2)</f>
        <v>105.14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188" t="s">
        <v>21</v>
      </c>
      <c r="E30" s="189"/>
      <c r="F30" s="79">
        <v>0</v>
      </c>
      <c r="G30" s="218">
        <v>0</v>
      </c>
      <c r="H30" s="219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188" t="s">
        <v>21</v>
      </c>
      <c r="E31" s="189"/>
      <c r="F31" s="79">
        <f>G31+K31</f>
        <v>39.94</v>
      </c>
      <c r="G31" s="216">
        <f>ROUND('Додаток 1'!K51+'Додаток 3'!H36,2)</f>
        <v>34.14</v>
      </c>
      <c r="H31" s="217"/>
      <c r="I31" s="79">
        <v>0</v>
      </c>
      <c r="J31" s="79">
        <v>0</v>
      </c>
      <c r="K31" s="73">
        <f>ROUND('Додаток 1'!AA51+'Додаток 3'!I36,2)</f>
        <v>5.8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188" t="s">
        <v>21</v>
      </c>
      <c r="E32" s="189"/>
      <c r="F32" s="37">
        <f>F33+F34+F35</f>
        <v>766.59999999999991</v>
      </c>
      <c r="G32" s="208">
        <f t="shared" ref="G32:K32" si="8">G28</f>
        <v>655.66</v>
      </c>
      <c r="H32" s="209"/>
      <c r="I32" s="37">
        <v>0</v>
      </c>
      <c r="J32" s="37">
        <v>0</v>
      </c>
      <c r="K32" s="37">
        <f t="shared" si="8"/>
        <v>110.94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188" t="s">
        <v>21</v>
      </c>
      <c r="E33" s="189"/>
      <c r="F33" s="37">
        <f>F29</f>
        <v>726.66</v>
      </c>
      <c r="G33" s="208">
        <f t="shared" ref="G33:K33" si="9">G29</f>
        <v>621.52</v>
      </c>
      <c r="H33" s="209"/>
      <c r="I33" s="37">
        <f t="shared" si="9"/>
        <v>0</v>
      </c>
      <c r="J33" s="37">
        <f t="shared" si="9"/>
        <v>0</v>
      </c>
      <c r="K33" s="37">
        <f t="shared" si="9"/>
        <v>105.14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188" t="s">
        <v>21</v>
      </c>
      <c r="E34" s="189"/>
      <c r="F34" s="37">
        <v>0</v>
      </c>
      <c r="G34" s="214">
        <v>0</v>
      </c>
      <c r="H34" s="215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188" t="s">
        <v>21</v>
      </c>
      <c r="E35" s="189"/>
      <c r="F35" s="37">
        <f>F31</f>
        <v>39.94</v>
      </c>
      <c r="G35" s="208">
        <f t="shared" ref="G35:K35" si="10">G32-G33-G34</f>
        <v>34.139999999999986</v>
      </c>
      <c r="H35" s="209"/>
      <c r="I35" s="37">
        <f t="shared" si="10"/>
        <v>0</v>
      </c>
      <c r="J35" s="37">
        <f t="shared" si="10"/>
        <v>0</v>
      </c>
      <c r="K35" s="37">
        <f t="shared" si="10"/>
        <v>5.7999999999999972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188" t="s">
        <v>57</v>
      </c>
      <c r="E36" s="189"/>
      <c r="F36" s="38">
        <f>F37+F38</f>
        <v>412.48399999999998</v>
      </c>
      <c r="G36" s="210">
        <f t="shared" ref="G36:K36" si="11">G37+G38</f>
        <v>352.74599999999998</v>
      </c>
      <c r="H36" s="211"/>
      <c r="I36" s="38">
        <f t="shared" si="11"/>
        <v>0</v>
      </c>
      <c r="J36" s="38">
        <f t="shared" si="11"/>
        <v>0</v>
      </c>
      <c r="K36" s="38">
        <f t="shared" si="11"/>
        <v>59.738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188" t="s">
        <v>57</v>
      </c>
      <c r="E37" s="189"/>
      <c r="F37" s="38">
        <f>G37+K37</f>
        <v>412.48399999999998</v>
      </c>
      <c r="G37" s="212">
        <f>'Додаток 1'!K67</f>
        <v>352.74599999999998</v>
      </c>
      <c r="H37" s="213"/>
      <c r="I37" s="38">
        <v>0</v>
      </c>
      <c r="J37" s="38">
        <v>0</v>
      </c>
      <c r="K37" s="94">
        <f>'Додаток 1'!AA67</f>
        <v>59.738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188" t="s">
        <v>57</v>
      </c>
      <c r="E38" s="189"/>
      <c r="F38" s="38">
        <v>0</v>
      </c>
      <c r="G38" s="202">
        <v>0</v>
      </c>
      <c r="H38" s="203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04"/>
      <c r="E39" s="205"/>
      <c r="F39" s="82" t="s">
        <v>127</v>
      </c>
      <c r="G39" s="206" t="s">
        <v>127</v>
      </c>
      <c r="H39" s="207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188" t="s">
        <v>110</v>
      </c>
      <c r="E40" s="189"/>
      <c r="F40" s="79">
        <f>F15/F13*100</f>
        <v>5.4917189903641077</v>
      </c>
      <c r="G40" s="190">
        <f t="shared" ref="G40:K40" si="12">G15/G13*100</f>
        <v>5.490290854408272</v>
      </c>
      <c r="H40" s="191"/>
      <c r="I40" s="79">
        <v>0</v>
      </c>
      <c r="J40" s="79">
        <v>0</v>
      </c>
      <c r="K40" s="79">
        <f t="shared" si="12"/>
        <v>5.5009462671905744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188" t="s">
        <v>110</v>
      </c>
      <c r="E41" s="189"/>
      <c r="F41" s="79">
        <v>0</v>
      </c>
      <c r="G41" s="190">
        <v>0</v>
      </c>
      <c r="H41" s="191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192" t="s">
        <v>110</v>
      </c>
      <c r="E42" s="148"/>
      <c r="F42" s="80">
        <f>F23/F21*100</f>
        <v>5.645316145833335</v>
      </c>
      <c r="G42" s="193">
        <f t="shared" ref="G42:K42" si="13">G23/G21*100</f>
        <v>5.5910234517766497</v>
      </c>
      <c r="H42" s="194"/>
      <c r="I42" s="80">
        <v>0</v>
      </c>
      <c r="J42" s="80">
        <v>0</v>
      </c>
      <c r="K42" s="80">
        <f t="shared" si="13"/>
        <v>5.9902359281437123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195" t="s">
        <v>110</v>
      </c>
      <c r="E43" s="196"/>
      <c r="F43" s="81">
        <f>F27/F25*100</f>
        <v>5.4965890512756914</v>
      </c>
      <c r="G43" s="197">
        <f t="shared" ref="G43:K43" si="14">G27/G25*100</f>
        <v>5.4934837237739513</v>
      </c>
      <c r="H43" s="198"/>
      <c r="I43" s="81">
        <v>0</v>
      </c>
      <c r="J43" s="81">
        <v>0</v>
      </c>
      <c r="K43" s="81">
        <f t="shared" si="14"/>
        <v>5.5164896138482069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199"/>
      <c r="C45" s="199"/>
      <c r="D45" s="199"/>
      <c r="E45" s="199"/>
      <c r="F45" s="22"/>
      <c r="G45" s="22"/>
      <c r="H45" s="27"/>
      <c r="I45" s="27"/>
      <c r="J45" s="27"/>
      <c r="K45" s="27"/>
      <c r="L45" s="28"/>
    </row>
    <row r="46" spans="1:12" ht="21.75" customHeight="1">
      <c r="A46" s="200" t="s">
        <v>156</v>
      </c>
      <c r="B46" s="200"/>
      <c r="C46" s="200"/>
      <c r="D46" s="200"/>
      <c r="E46" s="201"/>
      <c r="F46" s="201"/>
      <c r="G46" s="201"/>
      <c r="H46" s="187" t="s">
        <v>149</v>
      </c>
      <c r="I46" s="187"/>
      <c r="J46" s="187"/>
      <c r="K46" s="187"/>
      <c r="L46" s="187"/>
    </row>
    <row r="47" spans="1:12" ht="29.25" customHeight="1">
      <c r="A47" s="173"/>
      <c r="B47" s="173"/>
      <c r="C47" s="173"/>
      <c r="D47" s="173"/>
      <c r="E47" s="173" t="s">
        <v>64</v>
      </c>
      <c r="F47" s="173"/>
      <c r="G47" s="173"/>
      <c r="H47" s="173" t="s">
        <v>65</v>
      </c>
      <c r="I47" s="173"/>
      <c r="J47" s="173"/>
      <c r="K47" s="173"/>
      <c r="L47" s="173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2021-06-07T13:45:37Z</cp:lastPrinted>
  <dcterms:created xsi:type="dcterms:W3CDTF">2020-02-19T15:30:08Z</dcterms:created>
  <dcterms:modified xsi:type="dcterms:W3CDTF">2021-06-07T13:45:42Z</dcterms:modified>
</cp:coreProperties>
</file>